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slicers/slicer2.xml" ContentType="application/vnd.ms-excel.slicer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55779\Downloads\dashboard80\"/>
    </mc:Choice>
  </mc:AlternateContent>
  <xr:revisionPtr revIDLastSave="0" documentId="13_ncr:1_{B08713CC-EB15-4033-9AB3-33A058180285}" xr6:coauthVersionLast="47" xr6:coauthVersionMax="47" xr10:uidLastSave="{00000000-0000-0000-0000-000000000000}"/>
  <bookViews>
    <workbookView xWindow="-110" yWindow="-110" windowWidth="19420" windowHeight="10300" activeTab="2" xr2:uid="{B5776CBF-4D62-4D34-8FA3-C454893F2130}"/>
  </bookViews>
  <sheets>
    <sheet name="BaseModelo" sheetId="1" r:id="rId1"/>
    <sheet name="CAPA" sheetId="3" r:id="rId2"/>
    <sheet name="DashboardGer." sheetId="4" r:id="rId3"/>
    <sheet name="DashboardOpe." sheetId="6" r:id="rId4"/>
    <sheet name="Analises" sheetId="5" r:id="rId5"/>
  </sheets>
  <definedNames>
    <definedName name="SegmentaçãodeDados_EMPRESA">#N/A</definedName>
    <definedName name="SegmentaçãodeDados_MÊS">#N/A</definedName>
    <definedName name="SegmentaçãodeDados_TIPO_PRODUTO">#N/A</definedName>
  </definedNames>
  <calcPr calcId="191029"/>
  <pivotCaches>
    <pivotCache cacheId="0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W20" i="5" l="1"/>
  <c r="AV20" i="5" s="1"/>
  <c r="AV21" i="5" s="1"/>
  <c r="M3" i="5"/>
  <c r="AE22" i="5" l="1"/>
  <c r="AD22" i="5" s="1"/>
  <c r="AB19" i="5"/>
  <c r="AH10" i="5"/>
  <c r="AH21" i="5" s="1"/>
  <c r="AI10" i="5"/>
  <c r="AI21" i="5" s="1"/>
  <c r="AJ10" i="5"/>
  <c r="AJ21" i="5" s="1"/>
  <c r="AK10" i="5"/>
  <c r="AK21" i="5" s="1"/>
  <c r="AG11" i="5"/>
  <c r="AH12" i="5"/>
  <c r="AI12" i="5"/>
  <c r="AJ12" i="5"/>
  <c r="AK12" i="5"/>
  <c r="AW21" i="5"/>
  <c r="I22" i="5"/>
  <c r="I21" i="5"/>
  <c r="AV24" i="5" l="1"/>
  <c r="AJ11" i="5"/>
  <c r="AK11" i="5"/>
  <c r="AI11" i="5"/>
  <c r="AH11" i="5"/>
  <c r="I432" i="1"/>
  <c r="B432" i="1"/>
  <c r="A432" i="1"/>
  <c r="I431" i="1"/>
  <c r="B431" i="1"/>
  <c r="A431" i="1"/>
  <c r="I430" i="1"/>
  <c r="B430" i="1"/>
  <c r="A430" i="1"/>
  <c r="I429" i="1"/>
  <c r="B429" i="1"/>
  <c r="A429" i="1"/>
  <c r="I428" i="1"/>
  <c r="B428" i="1"/>
  <c r="A428" i="1"/>
  <c r="I427" i="1"/>
  <c r="B427" i="1"/>
  <c r="A427" i="1"/>
  <c r="I426" i="1"/>
  <c r="B426" i="1"/>
  <c r="A426" i="1"/>
  <c r="I425" i="1"/>
  <c r="B425" i="1"/>
  <c r="A425" i="1"/>
  <c r="I424" i="1"/>
  <c r="B424" i="1"/>
  <c r="A424" i="1"/>
  <c r="I423" i="1"/>
  <c r="B423" i="1"/>
  <c r="A423" i="1"/>
  <c r="I422" i="1"/>
  <c r="B422" i="1"/>
  <c r="A422" i="1"/>
  <c r="I421" i="1"/>
  <c r="B421" i="1"/>
  <c r="A421" i="1"/>
  <c r="I420" i="1"/>
  <c r="B420" i="1"/>
  <c r="A420" i="1"/>
  <c r="I419" i="1"/>
  <c r="B419" i="1"/>
  <c r="A419" i="1"/>
  <c r="I418" i="1"/>
  <c r="B418" i="1"/>
  <c r="A418" i="1"/>
  <c r="I417" i="1"/>
  <c r="B417" i="1"/>
  <c r="A417" i="1"/>
  <c r="I416" i="1"/>
  <c r="B416" i="1"/>
  <c r="A416" i="1"/>
  <c r="I415" i="1"/>
  <c r="B415" i="1"/>
  <c r="A415" i="1"/>
  <c r="I414" i="1"/>
  <c r="B414" i="1"/>
  <c r="A414" i="1"/>
  <c r="I413" i="1"/>
  <c r="B413" i="1"/>
  <c r="A413" i="1"/>
  <c r="I412" i="1"/>
  <c r="B412" i="1"/>
  <c r="A412" i="1"/>
  <c r="I411" i="1"/>
  <c r="B411" i="1"/>
  <c r="A411" i="1"/>
  <c r="I410" i="1"/>
  <c r="B410" i="1"/>
  <c r="A410" i="1"/>
  <c r="I409" i="1"/>
  <c r="B409" i="1"/>
  <c r="A409" i="1"/>
  <c r="I408" i="1"/>
  <c r="B408" i="1"/>
  <c r="A408" i="1"/>
  <c r="I407" i="1"/>
  <c r="B407" i="1"/>
  <c r="A407" i="1"/>
  <c r="I406" i="1"/>
  <c r="B406" i="1"/>
  <c r="A406" i="1"/>
  <c r="I405" i="1"/>
  <c r="B405" i="1"/>
  <c r="A405" i="1"/>
  <c r="I404" i="1"/>
  <c r="B404" i="1"/>
  <c r="A404" i="1"/>
  <c r="I403" i="1"/>
  <c r="B403" i="1"/>
  <c r="A403" i="1"/>
  <c r="I402" i="1"/>
  <c r="B402" i="1"/>
  <c r="A402" i="1"/>
  <c r="I401" i="1"/>
  <c r="B401" i="1"/>
  <c r="A401" i="1"/>
  <c r="I400" i="1"/>
  <c r="B400" i="1"/>
  <c r="A400" i="1"/>
  <c r="I399" i="1"/>
  <c r="B399" i="1"/>
  <c r="A399" i="1"/>
  <c r="I398" i="1"/>
  <c r="B398" i="1"/>
  <c r="A398" i="1"/>
  <c r="I397" i="1"/>
  <c r="B397" i="1"/>
  <c r="A397" i="1"/>
  <c r="I396" i="1"/>
  <c r="B396" i="1"/>
  <c r="A396" i="1"/>
  <c r="I395" i="1"/>
  <c r="B395" i="1"/>
  <c r="A395" i="1"/>
  <c r="I394" i="1"/>
  <c r="B394" i="1"/>
  <c r="A394" i="1"/>
  <c r="I393" i="1"/>
  <c r="B393" i="1"/>
  <c r="A393" i="1"/>
  <c r="I392" i="1"/>
  <c r="B392" i="1"/>
  <c r="A392" i="1"/>
  <c r="I391" i="1"/>
  <c r="B391" i="1"/>
  <c r="A391" i="1"/>
  <c r="I364" i="1" l="1"/>
  <c r="B364" i="1"/>
  <c r="A364" i="1"/>
  <c r="I363" i="1"/>
  <c r="B363" i="1"/>
  <c r="A363" i="1"/>
  <c r="I362" i="1"/>
  <c r="B362" i="1"/>
  <c r="A362" i="1"/>
  <c r="I361" i="1"/>
  <c r="B361" i="1"/>
  <c r="A361" i="1"/>
  <c r="I360" i="1"/>
  <c r="B360" i="1"/>
  <c r="A360" i="1"/>
  <c r="I359" i="1"/>
  <c r="B359" i="1"/>
  <c r="A359" i="1"/>
  <c r="I358" i="1"/>
  <c r="B358" i="1"/>
  <c r="A358" i="1"/>
  <c r="I357" i="1"/>
  <c r="B357" i="1"/>
  <c r="A357" i="1"/>
  <c r="I356" i="1"/>
  <c r="B356" i="1"/>
  <c r="A356" i="1"/>
  <c r="I355" i="1"/>
  <c r="B355" i="1"/>
  <c r="A355" i="1"/>
  <c r="I354" i="1"/>
  <c r="B354" i="1"/>
  <c r="A354" i="1"/>
  <c r="I353" i="1"/>
  <c r="B353" i="1"/>
  <c r="A353" i="1"/>
  <c r="I352" i="1"/>
  <c r="B352" i="1"/>
  <c r="A352" i="1"/>
  <c r="I351" i="1"/>
  <c r="B351" i="1"/>
  <c r="A351" i="1"/>
  <c r="I350" i="1"/>
  <c r="B350" i="1"/>
  <c r="A350" i="1"/>
  <c r="I349" i="1"/>
  <c r="B349" i="1"/>
  <c r="A349" i="1"/>
  <c r="I348" i="1"/>
  <c r="B348" i="1"/>
  <c r="A348" i="1"/>
  <c r="I347" i="1"/>
  <c r="B347" i="1"/>
  <c r="A347" i="1"/>
  <c r="I346" i="1"/>
  <c r="B346" i="1"/>
  <c r="A346" i="1"/>
  <c r="I345" i="1"/>
  <c r="B345" i="1"/>
  <c r="A345" i="1"/>
  <c r="I344" i="1"/>
  <c r="B344" i="1"/>
  <c r="A344" i="1"/>
  <c r="I343" i="1"/>
  <c r="B343" i="1"/>
  <c r="A343" i="1"/>
  <c r="I342" i="1"/>
  <c r="B342" i="1"/>
  <c r="A342" i="1"/>
  <c r="I341" i="1"/>
  <c r="B341" i="1"/>
  <c r="A341" i="1"/>
  <c r="I340" i="1"/>
  <c r="B340" i="1"/>
  <c r="A340" i="1"/>
  <c r="I339" i="1"/>
  <c r="B339" i="1"/>
  <c r="A339" i="1"/>
  <c r="I338" i="1"/>
  <c r="B338" i="1"/>
  <c r="A338" i="1"/>
  <c r="I337" i="1"/>
  <c r="B337" i="1"/>
  <c r="A337" i="1"/>
  <c r="I336" i="1"/>
  <c r="B336" i="1"/>
  <c r="A336" i="1"/>
  <c r="I335" i="1"/>
  <c r="B335" i="1"/>
  <c r="A335" i="1"/>
  <c r="I334" i="1"/>
  <c r="B334" i="1"/>
  <c r="A334" i="1"/>
  <c r="I333" i="1"/>
  <c r="B333" i="1"/>
  <c r="A333" i="1"/>
  <c r="I332" i="1"/>
  <c r="B332" i="1"/>
  <c r="A332" i="1"/>
  <c r="Q1" i="5"/>
  <c r="I3" i="5"/>
  <c r="Q3" i="5"/>
  <c r="Q2" i="5"/>
  <c r="I4" i="5" l="1"/>
  <c r="I5" i="5" s="1"/>
  <c r="M4" i="5"/>
  <c r="M6" i="5" s="1"/>
  <c r="R2" i="5"/>
  <c r="R3" i="5"/>
  <c r="R1" i="5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I34" i="1"/>
  <c r="B34" i="1"/>
  <c r="I33" i="1"/>
  <c r="B33" i="1"/>
  <c r="I32" i="1"/>
  <c r="B32" i="1"/>
  <c r="I31" i="1"/>
  <c r="B31" i="1"/>
  <c r="I30" i="1"/>
  <c r="B30" i="1"/>
  <c r="I29" i="1"/>
  <c r="B29" i="1"/>
  <c r="I28" i="1"/>
  <c r="B28" i="1"/>
  <c r="I27" i="1"/>
  <c r="B27" i="1"/>
  <c r="I26" i="1"/>
  <c r="B26" i="1"/>
  <c r="I25" i="1"/>
  <c r="B25" i="1"/>
  <c r="I24" i="1"/>
  <c r="B24" i="1"/>
  <c r="I23" i="1"/>
  <c r="B23" i="1"/>
  <c r="I22" i="1"/>
  <c r="B22" i="1"/>
  <c r="I21" i="1"/>
  <c r="B21" i="1"/>
  <c r="I20" i="1"/>
  <c r="B20" i="1"/>
  <c r="I19" i="1"/>
  <c r="B19" i="1"/>
  <c r="I18" i="1"/>
  <c r="B18" i="1"/>
  <c r="I17" i="1"/>
  <c r="B17" i="1"/>
  <c r="I16" i="1"/>
  <c r="B16" i="1"/>
  <c r="I15" i="1"/>
  <c r="B15" i="1"/>
  <c r="I55" i="1"/>
  <c r="B55" i="1"/>
  <c r="I54" i="1"/>
  <c r="B54" i="1"/>
  <c r="I53" i="1"/>
  <c r="B53" i="1"/>
  <c r="I52" i="1"/>
  <c r="B52" i="1"/>
  <c r="I51" i="1"/>
  <c r="B51" i="1"/>
  <c r="I50" i="1"/>
  <c r="B50" i="1"/>
  <c r="I49" i="1"/>
  <c r="B49" i="1"/>
  <c r="I48" i="1"/>
  <c r="B48" i="1"/>
  <c r="I47" i="1"/>
  <c r="B47" i="1"/>
  <c r="I46" i="1"/>
  <c r="B46" i="1"/>
  <c r="I45" i="1"/>
  <c r="B45" i="1"/>
  <c r="I44" i="1"/>
  <c r="B44" i="1"/>
  <c r="I43" i="1"/>
  <c r="B43" i="1"/>
  <c r="I82" i="1"/>
  <c r="B82" i="1"/>
  <c r="I81" i="1"/>
  <c r="B81" i="1"/>
  <c r="I80" i="1"/>
  <c r="B80" i="1"/>
  <c r="I79" i="1"/>
  <c r="B79" i="1"/>
  <c r="I78" i="1"/>
  <c r="B78" i="1"/>
  <c r="I77" i="1"/>
  <c r="B77" i="1"/>
  <c r="I76" i="1"/>
  <c r="B76" i="1"/>
  <c r="I75" i="1"/>
  <c r="B75" i="1"/>
  <c r="I74" i="1"/>
  <c r="B74" i="1"/>
  <c r="I73" i="1"/>
  <c r="B73" i="1"/>
  <c r="I72" i="1"/>
  <c r="B72" i="1"/>
  <c r="I71" i="1"/>
  <c r="B71" i="1"/>
  <c r="I70" i="1"/>
  <c r="B70" i="1"/>
  <c r="I69" i="1"/>
  <c r="B69" i="1"/>
  <c r="I68" i="1"/>
  <c r="B68" i="1"/>
  <c r="I67" i="1"/>
  <c r="B67" i="1"/>
  <c r="I66" i="1"/>
  <c r="B66" i="1"/>
  <c r="I65" i="1"/>
  <c r="B65" i="1"/>
  <c r="I64" i="1"/>
  <c r="B64" i="1"/>
  <c r="I63" i="1"/>
  <c r="B63" i="1"/>
  <c r="I62" i="1"/>
  <c r="B62" i="1"/>
  <c r="I61" i="1"/>
  <c r="B61" i="1"/>
  <c r="I60" i="1"/>
  <c r="B60" i="1"/>
  <c r="I59" i="1"/>
  <c r="B59" i="1"/>
  <c r="I58" i="1"/>
  <c r="B58" i="1"/>
  <c r="I57" i="1"/>
  <c r="B57" i="1"/>
  <c r="I56" i="1"/>
  <c r="B56" i="1"/>
  <c r="I14" i="1"/>
  <c r="B14" i="1"/>
  <c r="I13" i="1"/>
  <c r="B13" i="1"/>
  <c r="I12" i="1"/>
  <c r="B12" i="1"/>
  <c r="I11" i="1"/>
  <c r="B11" i="1"/>
  <c r="I92" i="1"/>
  <c r="B92" i="1"/>
  <c r="I91" i="1"/>
  <c r="B91" i="1"/>
  <c r="I90" i="1"/>
  <c r="B90" i="1"/>
  <c r="I89" i="1"/>
  <c r="B89" i="1"/>
  <c r="I88" i="1"/>
  <c r="B88" i="1"/>
  <c r="I87" i="1"/>
  <c r="B87" i="1"/>
  <c r="I86" i="1"/>
  <c r="B86" i="1"/>
  <c r="I104" i="1"/>
  <c r="B104" i="1"/>
  <c r="I103" i="1"/>
  <c r="B103" i="1"/>
  <c r="I102" i="1"/>
  <c r="B102" i="1"/>
  <c r="I101" i="1"/>
  <c r="B101" i="1"/>
  <c r="I100" i="1"/>
  <c r="B100" i="1"/>
  <c r="I99" i="1"/>
  <c r="B99" i="1"/>
  <c r="I98" i="1"/>
  <c r="B98" i="1"/>
  <c r="I97" i="1"/>
  <c r="B97" i="1"/>
  <c r="I96" i="1"/>
  <c r="B96" i="1"/>
  <c r="I95" i="1"/>
  <c r="B95" i="1"/>
  <c r="I94" i="1"/>
  <c r="B94" i="1"/>
  <c r="I93" i="1"/>
  <c r="B93" i="1"/>
  <c r="I85" i="1"/>
  <c r="B85" i="1"/>
  <c r="U15" i="5"/>
  <c r="U16" i="5"/>
  <c r="U18" i="5" l="1"/>
  <c r="O4" i="5"/>
  <c r="A27" i="1"/>
  <c r="A36" i="1"/>
  <c r="A32" i="1"/>
  <c r="A40" i="1"/>
  <c r="A19" i="1"/>
  <c r="A15" i="1"/>
  <c r="A23" i="1"/>
  <c r="A30" i="1"/>
  <c r="A34" i="1"/>
  <c r="A38" i="1"/>
  <c r="A42" i="1"/>
  <c r="A17" i="1"/>
  <c r="A21" i="1"/>
  <c r="A25" i="1"/>
  <c r="A44" i="1"/>
  <c r="A29" i="1"/>
  <c r="A31" i="1"/>
  <c r="A33" i="1"/>
  <c r="A35" i="1"/>
  <c r="A37" i="1"/>
  <c r="A39" i="1"/>
  <c r="A41" i="1"/>
  <c r="A52" i="1"/>
  <c r="A50" i="1"/>
  <c r="A54" i="1"/>
  <c r="A16" i="1"/>
  <c r="A18" i="1"/>
  <c r="A20" i="1"/>
  <c r="A22" i="1"/>
  <c r="A24" i="1"/>
  <c r="A26" i="1"/>
  <c r="A28" i="1"/>
  <c r="A48" i="1"/>
  <c r="A55" i="1"/>
  <c r="A51" i="1"/>
  <c r="A53" i="1"/>
  <c r="A46" i="1"/>
  <c r="A43" i="1"/>
  <c r="A45" i="1"/>
  <c r="A47" i="1"/>
  <c r="A49" i="1"/>
  <c r="A73" i="1"/>
  <c r="A79" i="1"/>
  <c r="A58" i="1"/>
  <c r="A77" i="1"/>
  <c r="A81" i="1"/>
  <c r="A69" i="1"/>
  <c r="A76" i="1"/>
  <c r="A78" i="1"/>
  <c r="A80" i="1"/>
  <c r="A82" i="1"/>
  <c r="A65" i="1"/>
  <c r="A71" i="1"/>
  <c r="A75" i="1"/>
  <c r="A63" i="1"/>
  <c r="A67" i="1"/>
  <c r="A70" i="1"/>
  <c r="A72" i="1"/>
  <c r="A74" i="1"/>
  <c r="A12" i="1"/>
  <c r="A56" i="1"/>
  <c r="A60" i="1"/>
  <c r="A62" i="1"/>
  <c r="A64" i="1"/>
  <c r="A66" i="1"/>
  <c r="A68" i="1"/>
  <c r="A14" i="1"/>
  <c r="A57" i="1"/>
  <c r="A59" i="1"/>
  <c r="A61" i="1"/>
  <c r="A11" i="1"/>
  <c r="A13" i="1"/>
  <c r="A88" i="1"/>
  <c r="A86" i="1"/>
  <c r="A90" i="1"/>
  <c r="A87" i="1"/>
  <c r="A89" i="1"/>
  <c r="A91" i="1"/>
  <c r="A92" i="1"/>
  <c r="A98" i="1"/>
  <c r="A103" i="1"/>
  <c r="A94" i="1"/>
  <c r="A102" i="1"/>
  <c r="A104" i="1"/>
  <c r="A85" i="1"/>
  <c r="A96" i="1"/>
  <c r="A100" i="1"/>
  <c r="A93" i="1"/>
  <c r="A95" i="1"/>
  <c r="A97" i="1"/>
  <c r="A101" i="1"/>
  <c r="A99" i="1"/>
  <c r="M19" i="5"/>
  <c r="AA19" i="5"/>
  <c r="I20" i="5"/>
  <c r="U19" i="5" l="1"/>
  <c r="I6" i="5"/>
  <c r="M5" i="5"/>
  <c r="V20" i="5"/>
  <c r="L19" i="5"/>
  <c r="U20" i="5" l="1"/>
  <c r="AL12" i="5"/>
  <c r="AM12" i="5"/>
  <c r="AN12" i="5"/>
  <c r="AO12" i="5"/>
  <c r="AP12" i="5"/>
  <c r="AQ12" i="5"/>
  <c r="AR12" i="5"/>
  <c r="AS12" i="5"/>
  <c r="AL10" i="5"/>
  <c r="AL21" i="5" s="1"/>
  <c r="AM10" i="5"/>
  <c r="AM21" i="5" s="1"/>
  <c r="AN10" i="5"/>
  <c r="AN21" i="5" s="1"/>
  <c r="AO10" i="5"/>
  <c r="AO21" i="5" s="1"/>
  <c r="AP10" i="5"/>
  <c r="AP21" i="5" s="1"/>
  <c r="AQ10" i="5"/>
  <c r="AQ21" i="5" s="1"/>
  <c r="AR10" i="5"/>
  <c r="AR21" i="5" s="1"/>
  <c r="AS10" i="5"/>
  <c r="AS21" i="5" s="1"/>
  <c r="J4" i="5"/>
  <c r="J5" i="5" s="1"/>
  <c r="I331" i="1"/>
  <c r="A331" i="1"/>
  <c r="I330" i="1"/>
  <c r="A330" i="1"/>
  <c r="I329" i="1"/>
  <c r="A329" i="1"/>
  <c r="I328" i="1"/>
  <c r="A328" i="1"/>
  <c r="I327" i="1"/>
  <c r="A327" i="1"/>
  <c r="I326" i="1"/>
  <c r="A326" i="1"/>
  <c r="I325" i="1"/>
  <c r="A325" i="1"/>
  <c r="I324" i="1"/>
  <c r="B324" i="1"/>
  <c r="I323" i="1"/>
  <c r="A323" i="1"/>
  <c r="I322" i="1"/>
  <c r="B322" i="1"/>
  <c r="I321" i="1"/>
  <c r="A321" i="1"/>
  <c r="I320" i="1"/>
  <c r="B320" i="1"/>
  <c r="I319" i="1"/>
  <c r="A319" i="1"/>
  <c r="I318" i="1"/>
  <c r="B318" i="1"/>
  <c r="I317" i="1"/>
  <c r="A317" i="1"/>
  <c r="I316" i="1"/>
  <c r="B316" i="1"/>
  <c r="I315" i="1"/>
  <c r="A315" i="1"/>
  <c r="I314" i="1"/>
  <c r="B314" i="1"/>
  <c r="I313" i="1"/>
  <c r="A313" i="1"/>
  <c r="I312" i="1"/>
  <c r="B312" i="1"/>
  <c r="I311" i="1"/>
  <c r="A311" i="1"/>
  <c r="I310" i="1"/>
  <c r="B310" i="1"/>
  <c r="I309" i="1"/>
  <c r="A309" i="1"/>
  <c r="I308" i="1"/>
  <c r="B308" i="1"/>
  <c r="I307" i="1"/>
  <c r="A307" i="1"/>
  <c r="I306" i="1"/>
  <c r="B306" i="1"/>
  <c r="I305" i="1"/>
  <c r="A305" i="1"/>
  <c r="I304" i="1"/>
  <c r="B304" i="1"/>
  <c r="I303" i="1"/>
  <c r="A303" i="1"/>
  <c r="I302" i="1"/>
  <c r="B302" i="1"/>
  <c r="I301" i="1"/>
  <c r="A301" i="1"/>
  <c r="I300" i="1"/>
  <c r="B300" i="1"/>
  <c r="I299" i="1"/>
  <c r="A299" i="1"/>
  <c r="I298" i="1"/>
  <c r="B298" i="1"/>
  <c r="I297" i="1"/>
  <c r="A297" i="1"/>
  <c r="I296" i="1"/>
  <c r="B296" i="1"/>
  <c r="I295" i="1"/>
  <c r="A295" i="1"/>
  <c r="I294" i="1"/>
  <c r="B294" i="1"/>
  <c r="I293" i="1"/>
  <c r="A293" i="1"/>
  <c r="I292" i="1"/>
  <c r="A292" i="1"/>
  <c r="I291" i="1"/>
  <c r="B291" i="1"/>
  <c r="I290" i="1"/>
  <c r="A290" i="1"/>
  <c r="I289" i="1"/>
  <c r="B289" i="1"/>
  <c r="I288" i="1"/>
  <c r="A288" i="1"/>
  <c r="I287" i="1"/>
  <c r="B287" i="1"/>
  <c r="I286" i="1"/>
  <c r="A286" i="1"/>
  <c r="I285" i="1"/>
  <c r="B285" i="1"/>
  <c r="I284" i="1"/>
  <c r="A284" i="1"/>
  <c r="I283" i="1"/>
  <c r="B283" i="1"/>
  <c r="I282" i="1"/>
  <c r="A282" i="1"/>
  <c r="I281" i="1"/>
  <c r="B281" i="1"/>
  <c r="I280" i="1"/>
  <c r="A280" i="1"/>
  <c r="I279" i="1"/>
  <c r="B279" i="1"/>
  <c r="I278" i="1"/>
  <c r="A278" i="1"/>
  <c r="I277" i="1"/>
  <c r="B277" i="1"/>
  <c r="I276" i="1"/>
  <c r="A276" i="1"/>
  <c r="I275" i="1"/>
  <c r="B275" i="1"/>
  <c r="I274" i="1"/>
  <c r="A274" i="1"/>
  <c r="I273" i="1"/>
  <c r="B273" i="1"/>
  <c r="I272" i="1"/>
  <c r="A272" i="1"/>
  <c r="I271" i="1"/>
  <c r="B271" i="1"/>
  <c r="I270" i="1"/>
  <c r="A270" i="1"/>
  <c r="I269" i="1"/>
  <c r="B269" i="1"/>
  <c r="I268" i="1"/>
  <c r="A268" i="1"/>
  <c r="AM14" i="5" l="1"/>
  <c r="AM16" i="5" s="1"/>
  <c r="AL16" i="5" s="1"/>
  <c r="AR11" i="5"/>
  <c r="AP11" i="5"/>
  <c r="AN11" i="5"/>
  <c r="AS11" i="5"/>
  <c r="AQ11" i="5"/>
  <c r="AO11" i="5"/>
  <c r="AM11" i="5"/>
  <c r="AL11" i="5"/>
  <c r="J6" i="5"/>
  <c r="B330" i="1"/>
  <c r="B326" i="1"/>
  <c r="B328" i="1"/>
  <c r="B331" i="1"/>
  <c r="B329" i="1"/>
  <c r="B327" i="1"/>
  <c r="B325" i="1"/>
  <c r="B323" i="1"/>
  <c r="B321" i="1"/>
  <c r="B319" i="1"/>
  <c r="B317" i="1"/>
  <c r="B315" i="1"/>
  <c r="B313" i="1"/>
  <c r="B311" i="1"/>
  <c r="B309" i="1"/>
  <c r="B307" i="1"/>
  <c r="B305" i="1"/>
  <c r="B303" i="1"/>
  <c r="B301" i="1"/>
  <c r="B299" i="1"/>
  <c r="B297" i="1"/>
  <c r="B295" i="1"/>
  <c r="B293" i="1"/>
  <c r="A324" i="1"/>
  <c r="A322" i="1"/>
  <c r="A320" i="1"/>
  <c r="A318" i="1"/>
  <c r="A316" i="1"/>
  <c r="A314" i="1"/>
  <c r="A312" i="1"/>
  <c r="A310" i="1"/>
  <c r="A308" i="1"/>
  <c r="A306" i="1"/>
  <c r="A304" i="1"/>
  <c r="A302" i="1"/>
  <c r="A300" i="1"/>
  <c r="A298" i="1"/>
  <c r="A296" i="1"/>
  <c r="A294" i="1"/>
  <c r="B292" i="1"/>
  <c r="B290" i="1"/>
  <c r="B288" i="1"/>
  <c r="B286" i="1"/>
  <c r="B284" i="1"/>
  <c r="B282" i="1"/>
  <c r="B280" i="1"/>
  <c r="B278" i="1"/>
  <c r="B276" i="1"/>
  <c r="B274" i="1"/>
  <c r="B272" i="1"/>
  <c r="B270" i="1"/>
  <c r="B268" i="1"/>
  <c r="A291" i="1"/>
  <c r="A289" i="1"/>
  <c r="A287" i="1"/>
  <c r="A285" i="1"/>
  <c r="A283" i="1"/>
  <c r="A281" i="1"/>
  <c r="A279" i="1"/>
  <c r="A277" i="1"/>
  <c r="A275" i="1"/>
  <c r="A273" i="1"/>
  <c r="A271" i="1"/>
  <c r="A269" i="1"/>
  <c r="I4" i="1"/>
  <c r="H22" i="5" l="1"/>
  <c r="H23" i="5"/>
  <c r="H21" i="5"/>
  <c r="A267" i="1"/>
  <c r="A266" i="1"/>
  <c r="A265" i="1"/>
  <c r="A264" i="1"/>
  <c r="A263" i="1"/>
  <c r="A262" i="1"/>
  <c r="A261" i="1"/>
  <c r="A260" i="1"/>
  <c r="I260" i="1"/>
  <c r="I261" i="1"/>
  <c r="I262" i="1"/>
  <c r="I263" i="1"/>
  <c r="I264" i="1"/>
  <c r="I265" i="1"/>
  <c r="I266" i="1"/>
  <c r="I267" i="1"/>
  <c r="I259" i="1"/>
  <c r="B259" i="1"/>
  <c r="I258" i="1"/>
  <c r="B258" i="1"/>
  <c r="I257" i="1"/>
  <c r="B257" i="1"/>
  <c r="I256" i="1"/>
  <c r="B256" i="1"/>
  <c r="I255" i="1"/>
  <c r="B255" i="1"/>
  <c r="I254" i="1"/>
  <c r="B254" i="1"/>
  <c r="I253" i="1"/>
  <c r="B253" i="1"/>
  <c r="I252" i="1"/>
  <c r="B252" i="1"/>
  <c r="I251" i="1"/>
  <c r="B251" i="1"/>
  <c r="I250" i="1"/>
  <c r="B250" i="1"/>
  <c r="I249" i="1"/>
  <c r="B249" i="1"/>
  <c r="I248" i="1"/>
  <c r="B248" i="1"/>
  <c r="I247" i="1"/>
  <c r="B247" i="1"/>
  <c r="I246" i="1"/>
  <c r="B246" i="1"/>
  <c r="I245" i="1"/>
  <c r="B245" i="1"/>
  <c r="I244" i="1"/>
  <c r="B244" i="1"/>
  <c r="I243" i="1"/>
  <c r="B243" i="1"/>
  <c r="I242" i="1"/>
  <c r="B242" i="1"/>
  <c r="I241" i="1"/>
  <c r="B241" i="1"/>
  <c r="I240" i="1"/>
  <c r="B240" i="1"/>
  <c r="I239" i="1"/>
  <c r="B239" i="1"/>
  <c r="I238" i="1"/>
  <c r="B238" i="1"/>
  <c r="I237" i="1"/>
  <c r="B237" i="1"/>
  <c r="I236" i="1"/>
  <c r="B236" i="1"/>
  <c r="I235" i="1"/>
  <c r="B235" i="1"/>
  <c r="I234" i="1"/>
  <c r="B234" i="1"/>
  <c r="I233" i="1"/>
  <c r="B233" i="1"/>
  <c r="I232" i="1"/>
  <c r="B232" i="1"/>
  <c r="I231" i="1"/>
  <c r="B231" i="1"/>
  <c r="I230" i="1"/>
  <c r="B230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8" i="1"/>
  <c r="I229" i="1"/>
  <c r="A229" i="1"/>
  <c r="A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A155" i="1"/>
  <c r="B156" i="1"/>
  <c r="B157" i="1"/>
  <c r="A158" i="1"/>
  <c r="A159" i="1"/>
  <c r="A160" i="1"/>
  <c r="B161" i="1"/>
  <c r="A162" i="1"/>
  <c r="A163" i="1"/>
  <c r="B164" i="1"/>
  <c r="B165" i="1"/>
  <c r="A166" i="1"/>
  <c r="A167" i="1"/>
  <c r="A168" i="1"/>
  <c r="B169" i="1"/>
  <c r="A170" i="1"/>
  <c r="A171" i="1"/>
  <c r="B172" i="1"/>
  <c r="B173" i="1"/>
  <c r="A174" i="1"/>
  <c r="A175" i="1"/>
  <c r="A176" i="1"/>
  <c r="B177" i="1"/>
  <c r="A178" i="1"/>
  <c r="A179" i="1"/>
  <c r="B180" i="1"/>
  <c r="A181" i="1"/>
  <c r="A182" i="1"/>
  <c r="B183" i="1"/>
  <c r="B184" i="1"/>
  <c r="B185" i="1"/>
  <c r="A186" i="1"/>
  <c r="A187" i="1"/>
  <c r="B188" i="1"/>
  <c r="A189" i="1"/>
  <c r="A190" i="1"/>
  <c r="B191" i="1"/>
  <c r="B192" i="1"/>
  <c r="B193" i="1"/>
  <c r="A194" i="1"/>
  <c r="A195" i="1"/>
  <c r="B196" i="1"/>
  <c r="A197" i="1"/>
  <c r="A198" i="1"/>
  <c r="B199" i="1"/>
  <c r="A200" i="1"/>
  <c r="A201" i="1"/>
  <c r="A202" i="1"/>
  <c r="B203" i="1"/>
  <c r="B204" i="1"/>
  <c r="B205" i="1"/>
  <c r="B206" i="1"/>
  <c r="B207" i="1"/>
  <c r="B208" i="1"/>
  <c r="B209" i="1"/>
  <c r="B210" i="1"/>
  <c r="B211" i="1"/>
  <c r="A212" i="1"/>
  <c r="B213" i="1"/>
  <c r="B214" i="1"/>
  <c r="B215" i="1"/>
  <c r="B216" i="1"/>
  <c r="A217" i="1"/>
  <c r="B218" i="1"/>
  <c r="A219" i="1"/>
  <c r="B220" i="1"/>
  <c r="B221" i="1"/>
  <c r="A222" i="1"/>
  <c r="B223" i="1"/>
  <c r="B224" i="1"/>
  <c r="B225" i="1"/>
  <c r="B226" i="1"/>
  <c r="B227" i="1"/>
  <c r="B228" i="1"/>
  <c r="I227" i="1"/>
  <c r="I23" i="5"/>
  <c r="B267" i="1" l="1"/>
  <c r="B265" i="1"/>
  <c r="B263" i="1"/>
  <c r="B261" i="1"/>
  <c r="B266" i="1"/>
  <c r="B264" i="1"/>
  <c r="B262" i="1"/>
  <c r="B260" i="1"/>
  <c r="A245" i="1"/>
  <c r="A237" i="1"/>
  <c r="A253" i="1"/>
  <c r="A231" i="1"/>
  <c r="A241" i="1"/>
  <c r="A249" i="1"/>
  <c r="A257" i="1"/>
  <c r="A233" i="1"/>
  <c r="A239" i="1"/>
  <c r="A243" i="1"/>
  <c r="A247" i="1"/>
  <c r="A251" i="1"/>
  <c r="A255" i="1"/>
  <c r="A259" i="1"/>
  <c r="A235" i="1"/>
  <c r="A207" i="1"/>
  <c r="B217" i="1"/>
  <c r="A209" i="1"/>
  <c r="B219" i="1"/>
  <c r="A227" i="1"/>
  <c r="A230" i="1"/>
  <c r="A232" i="1"/>
  <c r="A234" i="1"/>
  <c r="A236" i="1"/>
  <c r="A238" i="1"/>
  <c r="A240" i="1"/>
  <c r="A242" i="1"/>
  <c r="A244" i="1"/>
  <c r="A246" i="1"/>
  <c r="A248" i="1"/>
  <c r="A250" i="1"/>
  <c r="A252" i="1"/>
  <c r="A254" i="1"/>
  <c r="A256" i="1"/>
  <c r="A258" i="1"/>
  <c r="B229" i="1"/>
  <c r="B212" i="1"/>
  <c r="A214" i="1"/>
  <c r="B222" i="1"/>
  <c r="A224" i="1"/>
  <c r="B200" i="1"/>
  <c r="B202" i="1"/>
  <c r="A204" i="1"/>
  <c r="A226" i="1"/>
  <c r="A206" i="1"/>
  <c r="A216" i="1"/>
  <c r="A225" i="1"/>
  <c r="A215" i="1"/>
  <c r="A221" i="1"/>
  <c r="A228" i="1"/>
  <c r="A211" i="1"/>
  <c r="A218" i="1"/>
  <c r="A220" i="1"/>
  <c r="A223" i="1"/>
  <c r="A210" i="1"/>
  <c r="A213" i="1"/>
  <c r="A205" i="1"/>
  <c r="A208" i="1"/>
  <c r="A203" i="1"/>
  <c r="A157" i="1"/>
  <c r="A173" i="1"/>
  <c r="A165" i="1"/>
  <c r="A185" i="1"/>
  <c r="A161" i="1"/>
  <c r="A169" i="1"/>
  <c r="A177" i="1"/>
  <c r="A193" i="1"/>
  <c r="A143" i="1"/>
  <c r="B155" i="1"/>
  <c r="B159" i="1"/>
  <c r="B163" i="1"/>
  <c r="B167" i="1"/>
  <c r="B171" i="1"/>
  <c r="B175" i="1"/>
  <c r="B179" i="1"/>
  <c r="B187" i="1"/>
  <c r="B195" i="1"/>
  <c r="B201" i="1"/>
  <c r="A172" i="1"/>
  <c r="A188" i="1"/>
  <c r="A156" i="1"/>
  <c r="A196" i="1"/>
  <c r="A180" i="1"/>
  <c r="A164" i="1"/>
  <c r="B158" i="1"/>
  <c r="B160" i="1"/>
  <c r="B162" i="1"/>
  <c r="B166" i="1"/>
  <c r="B168" i="1"/>
  <c r="B170" i="1"/>
  <c r="B174" i="1"/>
  <c r="B176" i="1"/>
  <c r="B178" i="1"/>
  <c r="B182" i="1"/>
  <c r="B186" i="1"/>
  <c r="B190" i="1"/>
  <c r="B194" i="1"/>
  <c r="B198" i="1"/>
  <c r="A192" i="1"/>
  <c r="A184" i="1"/>
  <c r="B181" i="1"/>
  <c r="A183" i="1"/>
  <c r="B189" i="1"/>
  <c r="A191" i="1"/>
  <c r="B197" i="1"/>
  <c r="A199" i="1"/>
  <c r="A135" i="1"/>
  <c r="A151" i="1"/>
  <c r="A131" i="1"/>
  <c r="A139" i="1"/>
  <c r="A147" i="1"/>
  <c r="A133" i="1"/>
  <c r="A137" i="1"/>
  <c r="A141" i="1"/>
  <c r="A145" i="1"/>
  <c r="A149" i="1"/>
  <c r="A153" i="1"/>
  <c r="A132" i="1"/>
  <c r="A134" i="1"/>
  <c r="A136" i="1"/>
  <c r="A138" i="1"/>
  <c r="A140" i="1"/>
  <c r="A142" i="1"/>
  <c r="A144" i="1"/>
  <c r="A146" i="1"/>
  <c r="A148" i="1"/>
  <c r="A150" i="1"/>
  <c r="A152" i="1"/>
  <c r="A154" i="1"/>
  <c r="A127" i="1"/>
  <c r="A129" i="1"/>
  <c r="A126" i="1"/>
  <c r="A128" i="1"/>
  <c r="A130" i="1"/>
  <c r="B125" i="1"/>
  <c r="I122" i="1"/>
  <c r="I5" i="1"/>
  <c r="I6" i="1"/>
  <c r="I7" i="1"/>
  <c r="I8" i="1"/>
  <c r="I9" i="1"/>
  <c r="I10" i="1"/>
  <c r="I83" i="1"/>
  <c r="I8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3" i="1"/>
  <c r="I124" i="1"/>
  <c r="A4" i="1" l="1"/>
  <c r="B4" i="1" l="1"/>
  <c r="A124" i="1"/>
  <c r="B124" i="1"/>
  <c r="A122" i="1"/>
  <c r="B122" i="1"/>
  <c r="A120" i="1"/>
  <c r="B120" i="1"/>
  <c r="A118" i="1"/>
  <c r="B118" i="1"/>
  <c r="A116" i="1"/>
  <c r="B116" i="1"/>
  <c r="A114" i="1"/>
  <c r="B114" i="1"/>
  <c r="A112" i="1"/>
  <c r="B112" i="1"/>
  <c r="A110" i="1"/>
  <c r="B110" i="1"/>
  <c r="A108" i="1"/>
  <c r="B108" i="1"/>
  <c r="A106" i="1"/>
  <c r="B106" i="1"/>
  <c r="A84" i="1"/>
  <c r="B84" i="1"/>
  <c r="A9" i="1"/>
  <c r="B9" i="1"/>
  <c r="A7" i="1"/>
  <c r="B7" i="1"/>
  <c r="A5" i="1"/>
  <c r="B5" i="1"/>
  <c r="A123" i="1"/>
  <c r="B123" i="1"/>
  <c r="A121" i="1"/>
  <c r="B121" i="1"/>
  <c r="A119" i="1"/>
  <c r="B119" i="1"/>
  <c r="A117" i="1"/>
  <c r="B117" i="1"/>
  <c r="A115" i="1"/>
  <c r="B115" i="1"/>
  <c r="A113" i="1"/>
  <c r="B113" i="1"/>
  <c r="A111" i="1"/>
  <c r="B111" i="1"/>
  <c r="A109" i="1"/>
  <c r="B109" i="1"/>
  <c r="A107" i="1"/>
  <c r="B107" i="1"/>
  <c r="A105" i="1"/>
  <c r="B105" i="1"/>
  <c r="A83" i="1"/>
  <c r="B83" i="1"/>
  <c r="A10" i="1"/>
  <c r="B10" i="1"/>
  <c r="A8" i="1"/>
  <c r="B8" i="1"/>
  <c r="A6" i="1"/>
  <c r="B6" i="1"/>
</calcChain>
</file>

<file path=xl/sharedStrings.xml><?xml version="1.0" encoding="utf-8"?>
<sst xmlns="http://schemas.openxmlformats.org/spreadsheetml/2006/main" count="1944" uniqueCount="92">
  <si>
    <t>ANO</t>
  </si>
  <si>
    <t>MÊS</t>
  </si>
  <si>
    <t>DATA</t>
  </si>
  <si>
    <t>EMPRESA</t>
  </si>
  <si>
    <t>TIPO PRODUTO</t>
  </si>
  <si>
    <t>QUANTIDADE - KG</t>
  </si>
  <si>
    <t>VALOR - R$</t>
  </si>
  <si>
    <t>CLIENTE</t>
  </si>
  <si>
    <t>ESTADO</t>
  </si>
  <si>
    <t>MS</t>
  </si>
  <si>
    <t>RJ</t>
  </si>
  <si>
    <t>SP</t>
  </si>
  <si>
    <t>AL</t>
  </si>
  <si>
    <t>PE</t>
  </si>
  <si>
    <t>RS</t>
  </si>
  <si>
    <t>Rótulos de Linha</t>
  </si>
  <si>
    <t>Total Geral</t>
  </si>
  <si>
    <t>Soma de QUANTIDADE - KG</t>
  </si>
  <si>
    <t>Soma de VALOR - R$</t>
  </si>
  <si>
    <t>Rótulos de Coluna</t>
  </si>
  <si>
    <t>EMPRESA A</t>
  </si>
  <si>
    <t>EMPRESA B</t>
  </si>
  <si>
    <t>EMPRESA C</t>
  </si>
  <si>
    <t>CLIENTE 01</t>
  </si>
  <si>
    <t>CLIENTE 02</t>
  </si>
  <si>
    <t>CLIENTE 03</t>
  </si>
  <si>
    <t>CLIENTE 04</t>
  </si>
  <si>
    <t>SAL 25 KG</t>
  </si>
  <si>
    <t>SAL 50 KG</t>
  </si>
  <si>
    <t>SAL REFINADO 25 KG</t>
  </si>
  <si>
    <t>SAL GRANEL</t>
  </si>
  <si>
    <t>SAL BIG BAG</t>
  </si>
  <si>
    <t>Total faturado ( 3 empresas separadas + TOTAL JUNTO) – R$(VALORES)</t>
  </si>
  <si>
    <t>Total faturado ( 3 empresas separadas + TOTAL JUNTO) – (Toneladas)</t>
  </si>
  <si>
    <t>Faturamento por Produto (por empresa + TOTAL JUNTO) – R$</t>
  </si>
  <si>
    <t>Faturamento por Produto (por empresa + TOTAL JUNTO) – Toneladas</t>
  </si>
  <si>
    <t>Top – 10 Melhores Clientes – GERAL DAS EMPRESAS (Não preciso separar)</t>
  </si>
  <si>
    <t>Visão Preço Médio por produto</t>
  </si>
  <si>
    <t>Comparativo de faturamento 2019 x 2020 (geral das empresas)</t>
  </si>
  <si>
    <t>Meta x faturamento (GERAL)</t>
  </si>
  <si>
    <t>TABELA DE VALORES</t>
  </si>
  <si>
    <t>PREÇO</t>
  </si>
  <si>
    <t>PRODUTO</t>
  </si>
  <si>
    <t>Faturamento por Produto - empresa - kg</t>
  </si>
  <si>
    <t>Faturamento por Produto - juntos - kg</t>
  </si>
  <si>
    <t>CLIENTE 05</t>
  </si>
  <si>
    <t>CLIENTE 06</t>
  </si>
  <si>
    <t>CLIENTE 07</t>
  </si>
  <si>
    <t>CLIENTE 08</t>
  </si>
  <si>
    <t>CLIENTE 09</t>
  </si>
  <si>
    <t>CLIENTE 10</t>
  </si>
  <si>
    <t>FATURAMENTO 2019</t>
  </si>
  <si>
    <t>FATURAMENTO 2020</t>
  </si>
  <si>
    <t>DIFERENÇA</t>
  </si>
  <si>
    <t>CARTÃO</t>
  </si>
  <si>
    <t>p</t>
  </si>
  <si>
    <t>q</t>
  </si>
  <si>
    <t>INDICADOR-ref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</si>
  <si>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</si>
  <si>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</si>
  <si>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</si>
  <si>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</si>
  <si>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</si>
  <si>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</si>
  <si>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</si>
  <si>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</si>
  <si>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</si>
  <si>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</si>
  <si>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</si>
  <si>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</si>
  <si>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Meta 2020</t>
  </si>
  <si>
    <t>%</t>
  </si>
  <si>
    <t>Restante p/ meta</t>
  </si>
  <si>
    <t>POR ANO - FILTRO EMPRESA</t>
  </si>
  <si>
    <t>ranking melhor empresa</t>
  </si>
  <si>
    <t>TOTAL</t>
  </si>
  <si>
    <t>% ANO ANTERIOR:</t>
  </si>
  <si>
    <t>Diferença</t>
  </si>
  <si>
    <t>(Tudo)</t>
  </si>
  <si>
    <t>Alagoas</t>
  </si>
  <si>
    <t>Mato Grosso do Sul</t>
  </si>
  <si>
    <t>Pernanbuco</t>
  </si>
  <si>
    <t>Rio de Janeiro</t>
  </si>
  <si>
    <t>Rio Grande do Sul</t>
  </si>
  <si>
    <t>São Paulo</t>
  </si>
  <si>
    <t xml:space="preserve">Equivalente a </t>
  </si>
  <si>
    <t xml:space="preserve"> do faturamento</t>
  </si>
  <si>
    <t>MÉDIA/MÊS</t>
  </si>
  <si>
    <t>META</t>
  </si>
  <si>
    <t>Abaixo da Meta</t>
  </si>
  <si>
    <t>Acima da Meta</t>
  </si>
  <si>
    <t>Alterar posição!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</si>
</sst>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0.00,\ &quot;t&quot;"/>
    <numFmt numFmtId="166" formatCode="0.0,,\ &quot;Mi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Wingdings 3"/>
      <family val="1"/>
      <charset val="2"/>
    </font>
    <font>
      <sz val="11"/>
      <color theme="1"/>
      <name val="Webdings"/>
      <family val="1"/>
      <charset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164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4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2" borderId="0" xfId="0" applyFill="1" applyAlignment="1"/>
    <xf numFmtId="165" fontId="0" fillId="0" borderId="0" xfId="0" applyNumberFormat="1"/>
    <xf numFmtId="0" fontId="0" fillId="0" borderId="0" xfId="0" applyFill="1" applyAlignment="1">
      <alignment vertical="center"/>
    </xf>
    <xf numFmtId="14" fontId="0" fillId="0" borderId="2" xfId="0" applyNumberFormat="1" applyFont="1" applyFill="1" applyBorder="1" applyAlignment="1">
      <alignment vertical="center"/>
    </xf>
    <xf numFmtId="0" fontId="0" fillId="0" borderId="0" xfId="0" applyFill="1"/>
    <xf numFmtId="43" fontId="0" fillId="0" borderId="0" xfId="0" applyNumberFormat="1" applyFill="1"/>
    <xf numFmtId="164" fontId="0" fillId="0" borderId="0" xfId="1" applyFont="1" applyFill="1"/>
    <xf numFmtId="0" fontId="0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/>
    <xf numFmtId="164" fontId="0" fillId="0" borderId="1" xfId="1" applyFont="1" applyFill="1" applyBorder="1"/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164" fontId="0" fillId="0" borderId="6" xfId="1" applyFont="1" applyFill="1" applyBorder="1"/>
    <xf numFmtId="14" fontId="0" fillId="0" borderId="0" xfId="0" applyNumberFormat="1" applyFill="1" applyAlignment="1">
      <alignment vertical="center"/>
    </xf>
    <xf numFmtId="9" fontId="0" fillId="0" borderId="0" xfId="2" applyFont="1"/>
    <xf numFmtId="0" fontId="3" fillId="0" borderId="0" xfId="0" applyFont="1"/>
    <xf numFmtId="0" fontId="0" fillId="0" borderId="0" xfId="0" applyBorder="1" applyAlignment="1">
      <alignment vertical="center"/>
    </xf>
    <xf numFmtId="14" fontId="0" fillId="0" borderId="5" xfId="0" applyNumberFormat="1" applyFont="1" applyFill="1" applyBorder="1" applyAlignment="1">
      <alignment vertical="center"/>
    </xf>
    <xf numFmtId="0" fontId="0" fillId="0" borderId="0" xfId="0" applyBorder="1"/>
    <xf numFmtId="43" fontId="0" fillId="0" borderId="0" xfId="0" applyNumberFormat="1" applyBorder="1"/>
    <xf numFmtId="0" fontId="0" fillId="3" borderId="0" xfId="0" applyFill="1"/>
    <xf numFmtId="0" fontId="3" fillId="3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166" fontId="0" fillId="0" borderId="0" xfId="0" applyNumberFormat="1"/>
    <xf numFmtId="0" fontId="0" fillId="4" borderId="0" xfId="0" applyFill="1"/>
    <xf numFmtId="165" fontId="0" fillId="4" borderId="0" xfId="0" applyNumberFormat="1" applyFill="1"/>
    <xf numFmtId="0" fontId="0" fillId="0" borderId="0" xfId="0" applyAlignment="1">
      <alignment horizontal="center"/>
    </xf>
    <xf numFmtId="0" fontId="4" fillId="0" borderId="0" xfId="0" applyFont="1"/>
    <xf numFmtId="164" fontId="0" fillId="4" borderId="0" xfId="0" applyNumberFormat="1" applyFill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43" fontId="0" fillId="0" borderId="0" xfId="0" applyNumberFormat="1" applyFill="1" applyBorder="1"/>
    <xf numFmtId="164" fontId="0" fillId="0" borderId="0" xfId="1" applyFont="1" applyFill="1" applyBorder="1"/>
    <xf numFmtId="2" fontId="0" fillId="0" borderId="0" xfId="0" applyNumberFormat="1"/>
    <xf numFmtId="164" fontId="0" fillId="2" borderId="0" xfId="0" applyNumberFormat="1" applyFill="1"/>
    <xf numFmtId="166" fontId="0" fillId="0" borderId="0" xfId="0" pivotButton="1" applyNumberFormat="1"/>
    <xf numFmtId="164" fontId="0" fillId="0" borderId="0" xfId="0" pivotButton="1" applyNumberFormat="1"/>
    <xf numFmtId="164" fontId="6" fillId="0" borderId="0" xfId="0" applyNumberFormat="1" applyFont="1"/>
    <xf numFmtId="164" fontId="5" fillId="0" borderId="0" xfId="1" applyFont="1"/>
    <xf numFmtId="164" fontId="0" fillId="2" borderId="0" xfId="1" applyFont="1" applyFill="1"/>
    <xf numFmtId="0" fontId="0" fillId="5" borderId="7" xfId="0" applyFill="1" applyBorder="1" applyAlignment="1">
      <alignment horizontal="left"/>
    </xf>
    <xf numFmtId="0" fontId="0" fillId="5" borderId="8" xfId="0" applyFill="1" applyBorder="1"/>
    <xf numFmtId="0" fontId="0" fillId="5" borderId="9" xfId="0" applyFill="1" applyBorder="1" applyAlignment="1">
      <alignment horizontal="left"/>
    </xf>
    <xf numFmtId="0" fontId="0" fillId="5" borderId="10" xfId="0" applyFill="1" applyBorder="1"/>
    <xf numFmtId="0" fontId="0" fillId="5" borderId="11" xfId="0" applyFill="1" applyBorder="1" applyAlignment="1">
      <alignment horizontal="left"/>
    </xf>
    <xf numFmtId="0" fontId="0" fillId="5" borderId="12" xfId="0" applyFill="1" applyBorder="1"/>
    <xf numFmtId="0" fontId="0" fillId="6" borderId="7" xfId="0" applyFill="1" applyBorder="1" applyAlignment="1">
      <alignment horizontal="left"/>
    </xf>
    <xf numFmtId="166" fontId="0" fillId="6" borderId="13" xfId="0" applyNumberFormat="1" applyFill="1" applyBorder="1"/>
    <xf numFmtId="0" fontId="4" fillId="6" borderId="8" xfId="0" applyFont="1" applyFill="1" applyBorder="1"/>
    <xf numFmtId="0" fontId="0" fillId="6" borderId="9" xfId="0" applyFill="1" applyBorder="1" applyAlignment="1">
      <alignment horizontal="left"/>
    </xf>
    <xf numFmtId="166" fontId="0" fillId="6" borderId="0" xfId="0" applyNumberFormat="1" applyFill="1" applyBorder="1"/>
    <xf numFmtId="0" fontId="4" fillId="6" borderId="10" xfId="0" applyFont="1" applyFill="1" applyBorder="1"/>
    <xf numFmtId="0" fontId="0" fillId="6" borderId="11" xfId="0" applyFill="1" applyBorder="1" applyAlignment="1">
      <alignment horizontal="left"/>
    </xf>
    <xf numFmtId="166" fontId="0" fillId="6" borderId="14" xfId="0" applyNumberFormat="1" applyFill="1" applyBorder="1"/>
    <xf numFmtId="0" fontId="4" fillId="6" borderId="12" xfId="0" applyFont="1" applyFill="1" applyBorder="1"/>
  </cellXfs>
  <cellStyles count="3">
    <cellStyle name="Moeda" xfId="1" builtinId="4"/>
    <cellStyle name="Normal" xfId="0" builtinId="0"/>
    <cellStyle name="Porcentagem" xfId="2" builtinId="5"/>
  </cellStyles>
  <dxfs count="14">
    <dxf>
      <font>
        <b/>
      </font>
    </dxf>
    <dxf>
      <numFmt numFmtId="166" formatCode="0.0,,\ &quot;Mi&quot;"/>
    </dxf>
    <dxf>
      <numFmt numFmtId="166" formatCode="0.0,,\ &quot;Mi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&quot;R$&quot;* #,##0.00_-;\-&quot;R$&quot;* #,##0.00_-;_-&quot;R$&quot;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5" formatCode="_-* #,##0.00_-;\-* #,##0.00_-;_-* &quot;-&quot;??_-;_-@_-"/>
    </dxf>
    <dxf>
      <numFmt numFmtId="19" formatCode="dd/mm/yyyy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color theme="1"/>
      </font>
      <fill>
        <patternFill>
          <bgColor theme="3" tint="0.79998168889431442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3" tint="0.79998168889431442"/>
        </patternFill>
      </fill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Light1 2" pivot="0" table="0" count="10" xr9:uid="{B2E30D43-9DE4-417D-B144-21E9C43CD864}">
      <tableStyleElement type="wholeTable" dxfId="13"/>
      <tableStyleElement type="headerRow" dxfId="12"/>
    </tableStyle>
  </tableStyles>
  <colors>
    <mruColors>
      <color rgb="FF000000"/>
      <color rgb="FFACC4E3"/>
      <color rgb="FF81DEFF"/>
      <color rgb="FF3E4095"/>
      <color rgb="FFFFAD93"/>
    </mruColors>
  </colors>
  <extLst>
    <ext xmlns:x14="http://schemas.microsoft.com/office/spreadsheetml/2009/9/main" uri="{46F421CA-312F-682f-3DD2-61675219B42D}">
      <x14:dxfs count="8">
        <dxf>
          <font>
            <color theme="4" tint="0.79998168889431442"/>
          </font>
          <fill>
            <patternFill patternType="solid">
              <fgColor auto="1"/>
              <bgColor theme="4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0.79998168889431442"/>
          </font>
          <fill>
            <patternFill patternType="solid">
              <fgColor auto="1"/>
              <bgColor theme="4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0.79998168889431442"/>
          </font>
          <fill>
            <patternFill patternType="solid">
              <fgColor auto="1"/>
              <bgColor theme="4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0.79998168889431442"/>
          </font>
          <fill>
            <patternFill patternType="solid">
              <fgColor auto="1"/>
              <bgColor theme="4" tint="-0.24994659260841701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5117038483843"/>
              <bgColor theme="6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sz val="14"/>
            <color theme="4" tint="-0.499984740745262"/>
          </font>
          <fill>
            <patternFill patternType="solid">
              <fgColor theme="4" tint="0.59999389629810485"/>
              <bgColor theme="4" tint="0.599963377788628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theme="6" tint="0.79998168889431442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6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>
                <a:bevelT w="127000" h="63500"/>
              </a:sp3d>
            </c:spPr>
            <c:extLst>
              <c:ext xmlns:c16="http://schemas.microsoft.com/office/drawing/2014/chart" uri="{C3380CC4-5D6E-409C-BE32-E72D297353CC}">
                <c16:uniqueId val="{00000001-FF9D-460D-9761-F6335AE248C2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  <a:softEdge rad="31750"/>
              </a:effectLst>
            </c:spPr>
            <c:extLst>
              <c:ext xmlns:c16="http://schemas.microsoft.com/office/drawing/2014/chart" uri="{C3380CC4-5D6E-409C-BE32-E72D297353CC}">
                <c16:uniqueId val="{00000003-FF9D-460D-9761-F6335AE248C2}"/>
              </c:ext>
            </c:extLst>
          </c:dPt>
          <c:cat>
            <c:strRef>
              <c:f>Analises!$L$4:$L$5</c:f>
              <c:strCache>
                <c:ptCount val="2"/>
                <c:pt idx="0">
                  <c:v>FATURAMENTO 2020</c:v>
                </c:pt>
                <c:pt idx="1">
                  <c:v>Restante p/ meta</c:v>
                </c:pt>
              </c:strCache>
            </c:strRef>
          </c:cat>
          <c:val>
            <c:numRef>
              <c:f>Analises!$M$4:$M$5</c:f>
              <c:numCache>
                <c:formatCode>_-"R$"* #,##0.00_-;\-"R$"* #,##0.00_-;_-"R$"* "-"??_-;_-@_-</c:formatCode>
                <c:ptCount val="2"/>
                <c:pt idx="0">
                  <c:v>23431865</c:v>
                </c:pt>
                <c:pt idx="1">
                  <c:v>11668717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F9D-460D-9761-F6335AE24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JAMERSONOB_RV.xlsx]Analises!Tabela dinâmica9</c:name>
    <c:fmtId val="7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lumMod val="7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600" b="1" i="0" u="none" strike="noStrike" kern="1200" baseline="0">
                  <a:solidFill>
                    <a:schemeClr val="accent1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Analises!$AB$10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Analises!$AA$11:$AA$15</c:f>
              <c:strCache>
                <c:ptCount val="5"/>
                <c:pt idx="0">
                  <c:v>SAL GRANEL</c:v>
                </c:pt>
                <c:pt idx="1">
                  <c:v>SAL BIG BAG</c:v>
                </c:pt>
                <c:pt idx="2">
                  <c:v>SAL 50 KG</c:v>
                </c:pt>
                <c:pt idx="3">
                  <c:v>SAL 25 KG</c:v>
                </c:pt>
                <c:pt idx="4">
                  <c:v>SAL REFINADO 25 KG</c:v>
                </c:pt>
              </c:strCache>
            </c:strRef>
          </c:cat>
          <c:val>
            <c:numRef>
              <c:f>Analises!$AB$11:$AB$15</c:f>
              <c:numCache>
                <c:formatCode>0.0,,\ "Mi"</c:formatCode>
                <c:ptCount val="5"/>
                <c:pt idx="0">
                  <c:v>1021215</c:v>
                </c:pt>
                <c:pt idx="1">
                  <c:v>3653550</c:v>
                </c:pt>
                <c:pt idx="2">
                  <c:v>4455050</c:v>
                </c:pt>
                <c:pt idx="3">
                  <c:v>7147950</c:v>
                </c:pt>
                <c:pt idx="4">
                  <c:v>7154100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09-4C42-B13F-5CC140DF9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12571808"/>
        <c:axId val="612573776"/>
      </c:barChart>
      <c:catAx>
        <c:axId val="612571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accent5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2573776"/>
        <c:crosses val="autoZero"/>
        <c:auto val="1"/>
        <c:lblAlgn val="ctr"/>
        <c:lblOffset val="100"/>
        <c:noMultiLvlLbl val="0"/>
      </c:catAx>
      <c:valAx>
        <c:axId val="612573776"/>
        <c:scaling>
          <c:orientation val="minMax"/>
        </c:scaling>
        <c:delete val="1"/>
        <c:axPos val="b"/>
        <c:numFmt formatCode="0.0,,\ &quot;Mi&quot;" sourceLinked="1"/>
        <c:majorTickMark val="none"/>
        <c:minorTickMark val="none"/>
        <c:tickLblPos val="nextTo"/>
        <c:crossAx val="612571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712511746047928E-2"/>
          <c:y val="0.08"/>
          <c:w val="0.97657497650790415"/>
          <c:h val="0.62764896206156051"/>
        </c:manualLayout>
      </c:layout>
      <c:areaChart>
        <c:grouping val="standard"/>
        <c:varyColors val="0"/>
        <c:ser>
          <c:idx val="1"/>
          <c:order val="1"/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Analises!$AH$9:$AS$9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Analises!$AH$11:$AS$11</c:f>
              <c:numCache>
                <c:formatCode>0.0,,\ "Mi"</c:formatCode>
                <c:ptCount val="12"/>
                <c:pt idx="0">
                  <c:v>2780580</c:v>
                </c:pt>
                <c:pt idx="1">
                  <c:v>1605930</c:v>
                </c:pt>
                <c:pt idx="2">
                  <c:v>2653610</c:v>
                </c:pt>
                <c:pt idx="3">
                  <c:v>1426595</c:v>
                </c:pt>
                <c:pt idx="4">
                  <c:v>842840</c:v>
                </c:pt>
                <c:pt idx="5">
                  <c:v>1513815</c:v>
                </c:pt>
                <c:pt idx="6">
                  <c:v>1543075</c:v>
                </c:pt>
                <c:pt idx="7">
                  <c:v>1128030</c:v>
                </c:pt>
                <c:pt idx="8">
                  <c:v>1484045</c:v>
                </c:pt>
                <c:pt idx="9">
                  <c:v>3146840</c:v>
                </c:pt>
                <c:pt idx="10">
                  <c:v>2231925</c:v>
                </c:pt>
                <c:pt idx="11">
                  <c:v>3074580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1C-4BDC-9357-3E99E7E47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424128"/>
        <c:axId val="640420848"/>
      </c:areaChart>
      <c:lineChart>
        <c:grouping val="standard"/>
        <c:varyColors val="0"/>
        <c:ser>
          <c:idx val="0"/>
          <c:order val="0"/>
          <c:tx>
            <c:v>VALORES</c:v>
          </c:tx>
          <c:spPr>
            <a:ln w="63500" cap="rnd">
              <a:solidFill>
                <a:schemeClr val="accent1"/>
              </a:solidFill>
              <a:round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</c:marker>
          <c:dLbls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400" b="1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Analises!$AH$9:$AS$9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Analises!$AH$10:$AS$10</c:f>
              <c:numCache>
                <c:formatCode>0.0,,\ "Mi"</c:formatCode>
                <c:ptCount val="12"/>
                <c:pt idx="0">
                  <c:v>2780580</c:v>
                </c:pt>
                <c:pt idx="1">
                  <c:v>1605930</c:v>
                </c:pt>
                <c:pt idx="2">
                  <c:v>2653610</c:v>
                </c:pt>
                <c:pt idx="3">
                  <c:v>1426595</c:v>
                </c:pt>
                <c:pt idx="4">
                  <c:v>842840</c:v>
                </c:pt>
                <c:pt idx="5">
                  <c:v>1513815</c:v>
                </c:pt>
                <c:pt idx="6">
                  <c:v>1543075</c:v>
                </c:pt>
                <c:pt idx="7">
                  <c:v>1128030</c:v>
                </c:pt>
                <c:pt idx="8">
                  <c:v>1484045</c:v>
                </c:pt>
                <c:pt idx="9">
                  <c:v>3146840</c:v>
                </c:pt>
                <c:pt idx="10">
                  <c:v>2231925</c:v>
                </c:pt>
                <c:pt idx="11">
                  <c:v>3074580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56-432A-A8E1-8D28409E99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0424128"/>
        <c:axId val="640420848"/>
      </c:lineChart>
      <c:catAx>
        <c:axId val="64042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accent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40420848"/>
        <c:crosses val="autoZero"/>
        <c:auto val="1"/>
        <c:lblAlgn val="ctr"/>
        <c:lblOffset val="100"/>
        <c:noMultiLvlLbl val="0"/>
      </c:catAx>
      <c:valAx>
        <c:axId val="640420848"/>
        <c:scaling>
          <c:orientation val="minMax"/>
        </c:scaling>
        <c:delete val="1"/>
        <c:axPos val="l"/>
        <c:numFmt formatCode="0.0,,\ &quot;Mi&quot;" sourceLinked="1"/>
        <c:majorTickMark val="none"/>
        <c:minorTickMark val="none"/>
        <c:tickLblPos val="nextTo"/>
        <c:crossAx val="640424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JAMERSONOB_RV.xlsx]Analises!Tabela dinâmica11</c:name>
    <c:fmtId val="11"/>
  </c:pivotSource>
  <c:chart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accen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accent2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accent3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Analises!$AH$28:$AH$29</c:f>
              <c:strCache>
                <c:ptCount val="1"/>
                <c:pt idx="0">
                  <c:v>EMPRESA 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Analises!$AG$30:$AG$42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Analises!$AH$30:$AH$42</c:f>
              <c:numCache>
                <c:formatCode>0.0,,\ "Mi"</c:formatCode>
                <c:ptCount val="12"/>
                <c:pt idx="0">
                  <c:v>1245020</c:v>
                </c:pt>
                <c:pt idx="1">
                  <c:v>216610</c:v>
                </c:pt>
                <c:pt idx="2">
                  <c:v>397995</c:v>
                </c:pt>
                <c:pt idx="3">
                  <c:v>81465</c:v>
                </c:pt>
                <c:pt idx="4">
                  <c:v>744900</c:v>
                </c:pt>
                <c:pt idx="5">
                  <c:v>1052110</c:v>
                </c:pt>
                <c:pt idx="6">
                  <c:v>1000960</c:v>
                </c:pt>
                <c:pt idx="7">
                  <c:v>757685</c:v>
                </c:pt>
                <c:pt idx="8">
                  <c:v>769320</c:v>
                </c:pt>
                <c:pt idx="9">
                  <c:v>1851130</c:v>
                </c:pt>
                <c:pt idx="10">
                  <c:v>547520</c:v>
                </c:pt>
                <c:pt idx="11">
                  <c:v>1657195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56-43AE-B99E-3DFB3168A343}"/>
            </c:ext>
          </c:extLst>
        </c:ser>
        <c:ser>
          <c:idx val="1"/>
          <c:order val="1"/>
          <c:tx>
            <c:strRef>
              <c:f>Analises!$AI$28:$AI$29</c:f>
              <c:strCache>
                <c:ptCount val="1"/>
                <c:pt idx="0">
                  <c:v>EMPRESA 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Analises!$AG$30:$AG$42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Analises!$AI$30:$AI$42</c:f>
              <c:numCache>
                <c:formatCode>0.0,,\ "Mi"</c:formatCode>
                <c:ptCount val="12"/>
                <c:pt idx="0">
                  <c:v>1964455</c:v>
                </c:pt>
                <c:pt idx="1">
                  <c:v>2195990</c:v>
                </c:pt>
                <c:pt idx="2">
                  <c:v>1837355</c:v>
                </c:pt>
                <c:pt idx="3">
                  <c:v>791435</c:v>
                </c:pt>
                <c:pt idx="4">
                  <c:v>927560</c:v>
                </c:pt>
                <c:pt idx="5">
                  <c:v>875250</c:v>
                </c:pt>
                <c:pt idx="6">
                  <c:v>1194215</c:v>
                </c:pt>
                <c:pt idx="7">
                  <c:v>586915</c:v>
                </c:pt>
                <c:pt idx="8">
                  <c:v>1281870</c:v>
                </c:pt>
                <c:pt idx="9">
                  <c:v>2347690</c:v>
                </c:pt>
                <c:pt idx="10">
                  <c:v>1964495</c:v>
                </c:pt>
                <c:pt idx="11">
                  <c:v>2182750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03-4A27-B7B7-38AA6BB7F144}"/>
            </c:ext>
          </c:extLst>
        </c:ser>
        <c:ser>
          <c:idx val="2"/>
          <c:order val="2"/>
          <c:tx>
            <c:strRef>
              <c:f>Analises!$AJ$28:$AJ$29</c:f>
              <c:strCache>
                <c:ptCount val="1"/>
                <c:pt idx="0">
                  <c:v>EMPRESA C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Analises!$AG$30:$AG$42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Analises!$AJ$30:$AJ$42</c:f>
              <c:numCache>
                <c:formatCode>0.0,,\ "Mi"</c:formatCode>
                <c:ptCount val="12"/>
                <c:pt idx="0">
                  <c:v>893340</c:v>
                </c:pt>
                <c:pt idx="1">
                  <c:v>1093965</c:v>
                </c:pt>
                <c:pt idx="2">
                  <c:v>1449080</c:v>
                </c:pt>
                <c:pt idx="3">
                  <c:v>1585140</c:v>
                </c:pt>
                <c:pt idx="4">
                  <c:v>981650</c:v>
                </c:pt>
                <c:pt idx="5">
                  <c:v>889835</c:v>
                </c:pt>
                <c:pt idx="6">
                  <c:v>1404245</c:v>
                </c:pt>
                <c:pt idx="7">
                  <c:v>901120</c:v>
                </c:pt>
                <c:pt idx="8">
                  <c:v>697380</c:v>
                </c:pt>
                <c:pt idx="9">
                  <c:v>1312450</c:v>
                </c:pt>
                <c:pt idx="10">
                  <c:v>1535205</c:v>
                </c:pt>
                <c:pt idx="11">
                  <c:v>1390335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03-4A27-B7B7-38AA6BB7F14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35629968"/>
        <c:axId val="535630952"/>
      </c:lineChart>
      <c:catAx>
        <c:axId val="53562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35630952"/>
        <c:crosses val="autoZero"/>
        <c:auto val="1"/>
        <c:lblAlgn val="ctr"/>
        <c:lblOffset val="100"/>
        <c:noMultiLvlLbl val="0"/>
      </c:catAx>
      <c:valAx>
        <c:axId val="535630952"/>
        <c:scaling>
          <c:orientation val="minMax"/>
        </c:scaling>
        <c:delete val="1"/>
        <c:axPos val="l"/>
        <c:numFmt formatCode="0.0,,\ &quot;Mi&quot;" sourceLinked="1"/>
        <c:majorTickMark val="none"/>
        <c:minorTickMark val="none"/>
        <c:tickLblPos val="nextTo"/>
        <c:crossAx val="53562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JAMERSONOB_RV.xlsx]Analises!Tabela dinâmica1</c:name>
    <c:fmtId val="6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lumMod val="7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600" b="1" i="0" u="none" strike="noStrike" kern="1200" baseline="0">
                  <a:solidFill>
                    <a:schemeClr val="accent3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>
              <a:lumMod val="7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Analises!$I$10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Analises!$H$11:$H$14</c:f>
              <c:strCache>
                <c:ptCount val="3"/>
                <c:pt idx="0">
                  <c:v>EMPRESA A</c:v>
                </c:pt>
                <c:pt idx="1">
                  <c:v>EMPRESA B</c:v>
                </c:pt>
                <c:pt idx="2">
                  <c:v>EMPRESA C</c:v>
                </c:pt>
              </c:strCache>
            </c:strRef>
          </c:cat>
          <c:val>
            <c:numRef>
              <c:f>Analises!$I$11:$I$14</c:f>
              <c:numCache>
                <c:formatCode>0.00,\ "t"</c:formatCode>
                <c:ptCount val="3"/>
                <c:pt idx="0">
                  <c:v>299629</c:v>
                </c:pt>
                <c:pt idx="1">
                  <c:v>479660</c:v>
                </c:pt>
                <c:pt idx="2">
                  <c:v>384433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1B-4371-8F64-07DB00C05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675831960"/>
        <c:axId val="675833272"/>
      </c:barChart>
      <c:catAx>
        <c:axId val="675831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75833272"/>
        <c:crosses val="autoZero"/>
        <c:auto val="1"/>
        <c:lblAlgn val="ctr"/>
        <c:lblOffset val="100"/>
        <c:noMultiLvlLbl val="0"/>
      </c:catAx>
      <c:valAx>
        <c:axId val="675833272"/>
        <c:scaling>
          <c:orientation val="minMax"/>
        </c:scaling>
        <c:delete val="1"/>
        <c:axPos val="l"/>
        <c:numFmt formatCode="0.00,\ &quot;t&quot;" sourceLinked="1"/>
        <c:majorTickMark val="none"/>
        <c:minorTickMark val="none"/>
        <c:tickLblPos val="nextTo"/>
        <c:crossAx val="675831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JAMERSONOB_RV.xlsx]Analises!Tabela dinâmica2</c:name>
    <c:fmtId val="3"/>
  </c:pivotSource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>
              <a:lumMod val="75000"/>
            </a:schemeClr>
          </a:solidFill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c:spPr>
        <c:marker>
          <c:symbol val="none"/>
        </c:marker>
        <c:dLbl>
          <c:idx val="0"/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600" b="1" i="0" u="none" strike="noStrike" kern="1200" baseline="0">
                  <a:solidFill>
                    <a:schemeClr val="accent6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Analises!$M$10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Analises!$L$11:$L$13</c:f>
              <c:strCache>
                <c:ptCount val="3"/>
                <c:pt idx="0">
                  <c:v>EMPRESA A</c:v>
                </c:pt>
                <c:pt idx="1">
                  <c:v>EMPRESA B</c:v>
                </c:pt>
                <c:pt idx="2">
                  <c:v>EMPRESA C</c:v>
                </c:pt>
              </c:strCache>
            </c:strRef>
          </c:cat>
          <c:val>
            <c:numRef>
              <c:f>Analises!$M$11:$M$13</c:f>
              <c:numCache>
                <c:formatCode>0.0,,\ "Mi"</c:formatCode>
                <c:ptCount val="3"/>
                <c:pt idx="0">
                  <c:v>7062335</c:v>
                </c:pt>
                <c:pt idx="1">
                  <c:v>8655210</c:v>
                </c:pt>
                <c:pt idx="2">
                  <c:v>7714320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30-44ED-BAFD-189BF0F5BF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613542704"/>
        <c:axId val="613534504"/>
      </c:barChart>
      <c:catAx>
        <c:axId val="61354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13534504"/>
        <c:crosses val="autoZero"/>
        <c:auto val="1"/>
        <c:lblAlgn val="ctr"/>
        <c:lblOffset val="100"/>
        <c:noMultiLvlLbl val="0"/>
      </c:catAx>
      <c:valAx>
        <c:axId val="613534504"/>
        <c:scaling>
          <c:orientation val="minMax"/>
        </c:scaling>
        <c:delete val="1"/>
        <c:axPos val="l"/>
        <c:numFmt formatCode="0.0,,\ &quot;Mi&quot;" sourceLinked="1"/>
        <c:majorTickMark val="none"/>
        <c:minorTickMark val="none"/>
        <c:tickLblPos val="nextTo"/>
        <c:crossAx val="61354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JAMERSONOB_RV.xlsx]Analises!Tabela dinâmica7</c:name>
    <c:fmtId val="10"/>
  </c:pivotSource>
  <c:chart>
    <c:autoTitleDeleted val="1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accent1">
                      <a:lumMod val="20000"/>
                      <a:lumOff val="8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6343177650738863"/>
          <c:y val="0.15223857887329301"/>
          <c:w val="0.47201504911036263"/>
          <c:h val="0.69716030266091211"/>
        </c:manualLayout>
      </c:layout>
      <c:radarChart>
        <c:radarStyle val="marker"/>
        <c:varyColors val="0"/>
        <c:ser>
          <c:idx val="0"/>
          <c:order val="0"/>
          <c:tx>
            <c:strRef>
              <c:f>Analises!$AW$11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20000"/>
                        <a:lumOff val="8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Analises!$AV$12:$AV$17</c:f>
              <c:strCache>
                <c:ptCount val="6"/>
                <c:pt idx="0">
                  <c:v>AL</c:v>
                </c:pt>
                <c:pt idx="1">
                  <c:v>MS</c:v>
                </c:pt>
                <c:pt idx="2">
                  <c:v>PE</c:v>
                </c:pt>
                <c:pt idx="3">
                  <c:v>RJ</c:v>
                </c:pt>
                <c:pt idx="4">
                  <c:v>RS</c:v>
                </c:pt>
                <c:pt idx="5">
                  <c:v>SP</c:v>
                </c:pt>
              </c:strCache>
            </c:strRef>
          </c:cat>
          <c:val>
            <c:numRef>
              <c:f>Analises!$AW$12:$AW$17</c:f>
              <c:numCache>
                <c:formatCode>0.0,,\ "Mi"</c:formatCode>
                <c:ptCount val="6"/>
                <c:pt idx="0">
                  <c:v>7270535</c:v>
                </c:pt>
                <c:pt idx="1">
                  <c:v>12231665</c:v>
                </c:pt>
                <c:pt idx="2">
                  <c:v>195420</c:v>
                </c:pt>
                <c:pt idx="3">
                  <c:v>8586105</c:v>
                </c:pt>
                <c:pt idx="4">
                  <c:v>7771120</c:v>
                </c:pt>
                <c:pt idx="5">
                  <c:v>6550790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65-4D16-83BE-DFE97D7D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8500024"/>
        <c:axId val="590883192"/>
      </c:radarChart>
      <c:catAx>
        <c:axId val="548500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90883192"/>
        <c:crosses val="autoZero"/>
        <c:auto val="1"/>
        <c:lblAlgn val="ctr"/>
        <c:lblOffset val="100"/>
        <c:noMultiLvlLbl val="0"/>
      </c:catAx>
      <c:valAx>
        <c:axId val="5908831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</c:majorGridlines>
        <c:numFmt formatCode="0.0,,\ &quot;Mi&quot;" sourceLinked="1"/>
        <c:majorTickMark val="none"/>
        <c:minorTickMark val="none"/>
        <c:tickLblPos val="nextTo"/>
        <c:crossAx val="5485000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#DashboardGer.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1.png"/><Relationship Id="rId18" Type="http://schemas.openxmlformats.org/officeDocument/2006/relationships/hyperlink" Target="#DashboardOpe.!A1"/><Relationship Id="rId3" Type="http://schemas.openxmlformats.org/officeDocument/2006/relationships/image" Target="../media/image5.png"/><Relationship Id="rId7" Type="http://schemas.openxmlformats.org/officeDocument/2006/relationships/image" Target="../media/image7.png"/><Relationship Id="rId12" Type="http://schemas.openxmlformats.org/officeDocument/2006/relationships/image" Target="../media/image10.png"/><Relationship Id="rId17" Type="http://schemas.openxmlformats.org/officeDocument/2006/relationships/chart" Target="../charts/chart3.xml"/><Relationship Id="rId2" Type="http://schemas.openxmlformats.org/officeDocument/2006/relationships/hyperlink" Target="#CAPA!A1"/><Relationship Id="rId16" Type="http://schemas.microsoft.com/office/2007/relationships/hdphoto" Target="../media/hdphoto5.wdp"/><Relationship Id="rId20" Type="http://schemas.microsoft.com/office/2007/relationships/hdphoto" Target="../media/hdphoto6.wdp"/><Relationship Id="rId1" Type="http://schemas.openxmlformats.org/officeDocument/2006/relationships/image" Target="../media/image4.jpeg"/><Relationship Id="rId6" Type="http://schemas.microsoft.com/office/2007/relationships/hdphoto" Target="../media/hdphoto3.wdp"/><Relationship Id="rId11" Type="http://schemas.microsoft.com/office/2007/relationships/hdphoto" Target="../media/hdphoto4.wdp"/><Relationship Id="rId5" Type="http://schemas.openxmlformats.org/officeDocument/2006/relationships/image" Target="../media/image6.png"/><Relationship Id="rId15" Type="http://schemas.openxmlformats.org/officeDocument/2006/relationships/image" Target="../media/image12.png"/><Relationship Id="rId10" Type="http://schemas.openxmlformats.org/officeDocument/2006/relationships/image" Target="../media/image9.png"/><Relationship Id="rId19" Type="http://schemas.openxmlformats.org/officeDocument/2006/relationships/image" Target="../media/image13.png"/><Relationship Id="rId4" Type="http://schemas.microsoft.com/office/2007/relationships/hdphoto" Target="../media/hdphoto2.wdp"/><Relationship Id="rId9" Type="http://schemas.openxmlformats.org/officeDocument/2006/relationships/chart" Target="../charts/chart1.xml"/><Relationship Id="rId14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microsoft.com/office/2007/relationships/hdphoto" Target="../media/hdphoto8.wdp"/><Relationship Id="rId18" Type="http://schemas.openxmlformats.org/officeDocument/2006/relationships/chart" Target="../charts/chart5.xml"/><Relationship Id="rId26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microsoft.com/office/2007/relationships/hdphoto" Target="../media/hdphoto9.wdp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17.png"/><Relationship Id="rId25" Type="http://schemas.openxmlformats.org/officeDocument/2006/relationships/chart" Target="../charts/chart7.xml"/><Relationship Id="rId2" Type="http://schemas.openxmlformats.org/officeDocument/2006/relationships/hyperlink" Target="#CAPA!A1"/><Relationship Id="rId16" Type="http://schemas.microsoft.com/office/2007/relationships/hdphoto" Target="../media/hdphoto2.wdp"/><Relationship Id="rId20" Type="http://schemas.openxmlformats.org/officeDocument/2006/relationships/image" Target="../media/image18.png"/><Relationship Id="rId1" Type="http://schemas.openxmlformats.org/officeDocument/2006/relationships/image" Target="../media/image4.jpeg"/><Relationship Id="rId6" Type="http://schemas.openxmlformats.org/officeDocument/2006/relationships/image" Target="../media/image8.png"/><Relationship Id="rId11" Type="http://schemas.openxmlformats.org/officeDocument/2006/relationships/hyperlink" Target="#DashboardGer.!A1"/><Relationship Id="rId24" Type="http://schemas.microsoft.com/office/2007/relationships/hdphoto" Target="../media/hdphoto10.wdp"/><Relationship Id="rId5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0.png"/><Relationship Id="rId28" Type="http://schemas.openxmlformats.org/officeDocument/2006/relationships/image" Target="../media/image22.png"/><Relationship Id="rId10" Type="http://schemas.microsoft.com/office/2007/relationships/hdphoto" Target="../media/hdphoto7.wdp"/><Relationship Id="rId19" Type="http://schemas.openxmlformats.org/officeDocument/2006/relationships/chart" Target="../charts/chart6.xml"/><Relationship Id="rId4" Type="http://schemas.microsoft.com/office/2007/relationships/hdphoto" Target="../media/hdphoto3.wdp"/><Relationship Id="rId9" Type="http://schemas.openxmlformats.org/officeDocument/2006/relationships/image" Target="../media/image14.png"/><Relationship Id="rId14" Type="http://schemas.openxmlformats.org/officeDocument/2006/relationships/chart" Target="../charts/chart4.xml"/><Relationship Id="rId22" Type="http://schemas.openxmlformats.org/officeDocument/2006/relationships/image" Target="../media/image19.emf"/><Relationship Id="rId27" Type="http://schemas.microsoft.com/office/2007/relationships/hdphoto" Target="../media/hdphoto11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Relationship Id="rId4" Type="http://schemas.openxmlformats.org/officeDocument/2006/relationships/image" Target="../media/image2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13593</xdr:colOff>
      <xdr:row>46</xdr:row>
      <xdr:rowOff>13607</xdr:rowOff>
    </xdr:to>
    <xdr:pic>
      <xdr:nvPicPr>
        <xdr:cNvPr id="4" name="Imagem 3" descr="Você sabia que 90% do sal de cozinha contém microplásticos? – ROUTE Brasil">
          <a:extLst>
            <a:ext uri="{FF2B5EF4-FFF2-40B4-BE49-F238E27FC236}">
              <a16:creationId xmlns:a16="http://schemas.microsoft.com/office/drawing/2014/main" id="{9F324ED3-F087-4F78-8E08-DE40CCBD0B2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58" r="11795" b="21566"/>
        <a:stretch/>
      </xdr:blipFill>
      <xdr:spPr bwMode="auto">
        <a:xfrm flipH="1">
          <a:off x="0" y="0"/>
          <a:ext cx="17770914" cy="8776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154782</xdr:colOff>
      <xdr:row>6</xdr:row>
      <xdr:rowOff>119061</xdr:rowOff>
    </xdr:from>
    <xdr:to>
      <xdr:col>25</xdr:col>
      <xdr:colOff>166687</xdr:colOff>
      <xdr:row>42</xdr:row>
      <xdr:rowOff>11905</xdr:rowOff>
    </xdr:to>
    <xdr:sp macro="" textlink="">
      <xdr:nvSpPr>
        <xdr:cNvPr id="6" name="Retângulo: Cantos Arredondados 5">
          <a:extLst>
            <a:ext uri="{FF2B5EF4-FFF2-40B4-BE49-F238E27FC236}">
              <a16:creationId xmlns:a16="http://schemas.microsoft.com/office/drawing/2014/main" id="{BBA83BB4-0D99-4263-9DF3-70B821C71C7B}"/>
            </a:ext>
          </a:extLst>
        </xdr:cNvPr>
        <xdr:cNvSpPr/>
      </xdr:nvSpPr>
      <xdr:spPr>
        <a:xfrm>
          <a:off x="2583657" y="1262061"/>
          <a:ext cx="12763499" cy="6750844"/>
        </a:xfrm>
        <a:prstGeom prst="roundRect">
          <a:avLst/>
        </a:prstGeom>
        <a:solidFill>
          <a:schemeClr val="accent1">
            <a:alpha val="50000"/>
          </a:schemeClr>
        </a:solidFill>
        <a:ln w="19050">
          <a:solidFill>
            <a:schemeClr val="accent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oneCellAnchor>
    <xdr:from>
      <xdr:col>5</xdr:col>
      <xdr:colOff>378335</xdr:colOff>
      <xdr:row>8</xdr:row>
      <xdr:rowOff>142877</xdr:rowOff>
    </xdr:from>
    <xdr:ext cx="11325507" cy="1344663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3DE4DB0F-471A-47EC-913C-A153F54D6FB1}"/>
            </a:ext>
          </a:extLst>
        </xdr:cNvPr>
        <xdr:cNvSpPr/>
      </xdr:nvSpPr>
      <xdr:spPr>
        <a:xfrm>
          <a:off x="3414429" y="1666877"/>
          <a:ext cx="11325507" cy="1344663"/>
        </a:xfrm>
        <a:prstGeom prst="rect">
          <a:avLst/>
        </a:prstGeom>
        <a:noFill/>
        <a:effectLst/>
      </xdr:spPr>
      <xdr:txBody>
        <a:bodyPr wrap="square" lIns="91440" tIns="45720" rIns="91440" bIns="45720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pt-BR" sz="8000" b="1" cap="none" spc="0">
              <a:ln w="12700">
                <a:solidFill>
                  <a:schemeClr val="accent4"/>
                </a:solidFill>
              </a:ln>
              <a:solidFill>
                <a:schemeClr val="bg2"/>
              </a:solidFill>
              <a:effectLst/>
            </a:rPr>
            <a:t>CONTROLE</a:t>
          </a:r>
          <a:r>
            <a:rPr lang="pt-BR" sz="8000" b="1" cap="none" spc="0" baseline="0">
              <a:ln w="12700">
                <a:solidFill>
                  <a:schemeClr val="accent4"/>
                </a:solidFill>
              </a:ln>
              <a:solidFill>
                <a:schemeClr val="bg2"/>
              </a:solidFill>
              <a:effectLst/>
            </a:rPr>
            <a:t> DE VENDAS</a:t>
          </a:r>
          <a:endParaRPr lang="pt-BR" sz="8000" b="1" cap="none" spc="0">
            <a:ln w="12700">
              <a:solidFill>
                <a:schemeClr val="accent4"/>
              </a:solidFill>
            </a:ln>
            <a:solidFill>
              <a:schemeClr val="bg2"/>
            </a:solidFill>
            <a:effectLst/>
          </a:endParaRPr>
        </a:p>
      </xdr:txBody>
    </xdr:sp>
    <xdr:clientData/>
  </xdr:oneCellAnchor>
  <xdr:twoCellAnchor editAs="oneCell">
    <xdr:from>
      <xdr:col>30</xdr:col>
      <xdr:colOff>0</xdr:colOff>
      <xdr:row>18</xdr:row>
      <xdr:rowOff>0</xdr:rowOff>
    </xdr:from>
    <xdr:to>
      <xdr:col>30</xdr:col>
      <xdr:colOff>304800</xdr:colOff>
      <xdr:row>19</xdr:row>
      <xdr:rowOff>114300</xdr:rowOff>
    </xdr:to>
    <xdr:sp macro="" textlink="">
      <xdr:nvSpPr>
        <xdr:cNvPr id="2052" name="AutoShape 4" descr="icone-analizando-grafico-dinheiro-lasses-consultoria-fluxo-caixa-projetado-350x350  - Future">
          <a:extLst>
            <a:ext uri="{FF2B5EF4-FFF2-40B4-BE49-F238E27FC236}">
              <a16:creationId xmlns:a16="http://schemas.microsoft.com/office/drawing/2014/main" id="{D660FFBB-4CFC-439E-AFC7-DD6C292AD871}"/>
            </a:ext>
          </a:extLst>
        </xdr:cNvPr>
        <xdr:cNvSpPr>
          <a:spLocks noChangeAspect="1" noChangeArrowheads="1"/>
        </xdr:cNvSpPr>
      </xdr:nvSpPr>
      <xdr:spPr bwMode="auto">
        <a:xfrm>
          <a:off x="1828800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166690</xdr:colOff>
      <xdr:row>30</xdr:row>
      <xdr:rowOff>5137</xdr:rowOff>
    </xdr:from>
    <xdr:to>
      <xdr:col>13</xdr:col>
      <xdr:colOff>440531</xdr:colOff>
      <xdr:row>35</xdr:row>
      <xdr:rowOff>161551</xdr:rowOff>
    </xdr:to>
    <xdr:grpSp>
      <xdr:nvGrpSpPr>
        <xdr:cNvPr id="18" name="Agrupar 17">
          <a:extLst>
            <a:ext uri="{FF2B5EF4-FFF2-40B4-BE49-F238E27FC236}">
              <a16:creationId xmlns:a16="http://schemas.microsoft.com/office/drawing/2014/main" id="{DD0BCF44-CC49-41FA-8D56-8A48629855AD}"/>
            </a:ext>
          </a:extLst>
        </xdr:cNvPr>
        <xdr:cNvGrpSpPr/>
      </xdr:nvGrpSpPr>
      <xdr:grpSpPr>
        <a:xfrm>
          <a:off x="5061963" y="5546955"/>
          <a:ext cx="3333386" cy="1080051"/>
          <a:chOff x="5024440" y="5691188"/>
          <a:chExt cx="3309935" cy="1108914"/>
        </a:xfrm>
      </xdr:grpSpPr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7C2F71E2-ACDD-4F5D-936F-4AF3C615D78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 r="31060"/>
          <a:stretch/>
        </xdr:blipFill>
        <xdr:spPr>
          <a:xfrm>
            <a:off x="5024440" y="5691188"/>
            <a:ext cx="1231661" cy="1108914"/>
          </a:xfrm>
          <a:prstGeom prst="rect">
            <a:avLst/>
          </a:prstGeom>
        </xdr:spPr>
      </xdr:pic>
      <xdr:cxnSp macro="">
        <xdr:nvCxnSpPr>
          <xdr:cNvPr id="16" name="Conector reto 15">
            <a:extLst>
              <a:ext uri="{FF2B5EF4-FFF2-40B4-BE49-F238E27FC236}">
                <a16:creationId xmlns:a16="http://schemas.microsoft.com/office/drawing/2014/main" id="{36997D54-C14A-4B39-9EAC-4F83060FEDF8}"/>
              </a:ext>
            </a:extLst>
          </xdr:cNvPr>
          <xdr:cNvCxnSpPr/>
        </xdr:nvCxnSpPr>
        <xdr:spPr>
          <a:xfrm>
            <a:off x="6203160" y="5776164"/>
            <a:ext cx="0" cy="1023938"/>
          </a:xfrm>
          <a:prstGeom prst="line">
            <a:avLst/>
          </a:prstGeom>
          <a:ln w="57150"/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CaixaDeTexto 16">
            <a:extLst>
              <a:ext uri="{FF2B5EF4-FFF2-40B4-BE49-F238E27FC236}">
                <a16:creationId xmlns:a16="http://schemas.microsoft.com/office/drawing/2014/main" id="{07B3D087-C3D2-414F-AA82-F8BF68566600}"/>
              </a:ext>
            </a:extLst>
          </xdr:cNvPr>
          <xdr:cNvSpPr txBox="1"/>
        </xdr:nvSpPr>
        <xdr:spPr>
          <a:xfrm>
            <a:off x="6369844" y="6216695"/>
            <a:ext cx="1964531" cy="5834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2000" b="1">
                <a:solidFill>
                  <a:schemeClr val="accent1"/>
                </a:solidFill>
              </a:rPr>
              <a:t>BASE</a:t>
            </a:r>
            <a:r>
              <a:rPr lang="pt-BR" sz="2000" b="1" baseline="0">
                <a:solidFill>
                  <a:schemeClr val="accent1"/>
                </a:solidFill>
              </a:rPr>
              <a:t> DE DADOS</a:t>
            </a:r>
            <a:endParaRPr lang="pt-BR" sz="2000" b="1">
              <a:solidFill>
                <a:schemeClr val="accent1"/>
              </a:solidFill>
            </a:endParaRPr>
          </a:p>
        </xdr:txBody>
      </xdr:sp>
    </xdr:grpSp>
    <xdr:clientData/>
  </xdr:twoCellAnchor>
  <xdr:twoCellAnchor>
    <xdr:from>
      <xdr:col>16</xdr:col>
      <xdr:colOff>190500</xdr:colOff>
      <xdr:row>30</xdr:row>
      <xdr:rowOff>23813</xdr:rowOff>
    </xdr:from>
    <xdr:to>
      <xdr:col>21</xdr:col>
      <xdr:colOff>285750</xdr:colOff>
      <xdr:row>35</xdr:row>
      <xdr:rowOff>142876</xdr:rowOff>
    </xdr:to>
    <xdr:grpSp>
      <xdr:nvGrpSpPr>
        <xdr:cNvPr id="20" name="Agrupar 19">
          <a:hlinkClick xmlns:r="http://schemas.openxmlformats.org/officeDocument/2006/relationships" r:id="rId4" tooltip="DASHBOARD"/>
          <a:extLst>
            <a:ext uri="{FF2B5EF4-FFF2-40B4-BE49-F238E27FC236}">
              <a16:creationId xmlns:a16="http://schemas.microsoft.com/office/drawing/2014/main" id="{2EE93AF5-F3CC-4513-A79C-B05A14B5BC30}"/>
            </a:ext>
          </a:extLst>
        </xdr:cNvPr>
        <xdr:cNvGrpSpPr/>
      </xdr:nvGrpSpPr>
      <xdr:grpSpPr>
        <a:xfrm>
          <a:off x="9981045" y="5565631"/>
          <a:ext cx="3154796" cy="1042700"/>
          <a:chOff x="9906000" y="5786438"/>
          <a:chExt cx="3131344" cy="1071563"/>
        </a:xfrm>
      </xdr:grpSpPr>
      <xdr:pic>
        <xdr:nvPicPr>
          <xdr:cNvPr id="14" name="Picture 2" descr="icone-analizando-grafico-dinheiro-lasses-consultoria-fluxo-caixa-projetado-350x350  - Future">
            <a:extLst>
              <a:ext uri="{FF2B5EF4-FFF2-40B4-BE49-F238E27FC236}">
                <a16:creationId xmlns:a16="http://schemas.microsoft.com/office/drawing/2014/main" id="{971CB1B9-36D2-475E-81F1-3A0EDB705C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duotone>
              <a:schemeClr val="accent2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06000" y="5786438"/>
            <a:ext cx="1071563" cy="107156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9" name="Conector reto 18">
            <a:extLst>
              <a:ext uri="{FF2B5EF4-FFF2-40B4-BE49-F238E27FC236}">
                <a16:creationId xmlns:a16="http://schemas.microsoft.com/office/drawing/2014/main" id="{C8C0C2F1-AF7A-4327-B657-FC2FBB0E9310}"/>
              </a:ext>
            </a:extLst>
          </xdr:cNvPr>
          <xdr:cNvCxnSpPr/>
        </xdr:nvCxnSpPr>
        <xdr:spPr>
          <a:xfrm>
            <a:off x="11013285" y="5834063"/>
            <a:ext cx="0" cy="1023938"/>
          </a:xfrm>
          <a:prstGeom prst="line">
            <a:avLst/>
          </a:prstGeom>
          <a:ln w="57150"/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CaixaDeTexto 20">
            <a:extLst>
              <a:ext uri="{FF2B5EF4-FFF2-40B4-BE49-F238E27FC236}">
                <a16:creationId xmlns:a16="http://schemas.microsoft.com/office/drawing/2014/main" id="{41A48D9F-7488-4EC2-A9B7-3EC807C7F914}"/>
              </a:ext>
            </a:extLst>
          </xdr:cNvPr>
          <xdr:cNvSpPr txBox="1"/>
        </xdr:nvSpPr>
        <xdr:spPr>
          <a:xfrm>
            <a:off x="11072813" y="6274594"/>
            <a:ext cx="1964531" cy="58340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pt-BR" sz="2000" b="1">
                <a:solidFill>
                  <a:schemeClr val="accent1"/>
                </a:solidFill>
              </a:rPr>
              <a:t>DASHBOARD</a:t>
            </a:r>
          </a:p>
        </xdr:txBody>
      </xdr:sp>
    </xdr:grpSp>
    <xdr:clientData/>
  </xdr:twoCellAnchor>
  <xdr:twoCellAnchor>
    <xdr:from>
      <xdr:col>7</xdr:col>
      <xdr:colOff>95250</xdr:colOff>
      <xdr:row>15</xdr:row>
      <xdr:rowOff>66675</xdr:rowOff>
    </xdr:from>
    <xdr:to>
      <xdr:col>22</xdr:col>
      <xdr:colOff>438150</xdr:colOff>
      <xdr:row>15</xdr:row>
      <xdr:rowOff>66675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6D43F09B-7864-4C28-8706-C6EF632A007A}"/>
            </a:ext>
          </a:extLst>
        </xdr:cNvPr>
        <xdr:cNvCxnSpPr/>
      </xdr:nvCxnSpPr>
      <xdr:spPr>
        <a:xfrm>
          <a:off x="4362450" y="2924175"/>
          <a:ext cx="9486900" cy="0"/>
        </a:xfrm>
        <a:prstGeom prst="line">
          <a:avLst/>
        </a:prstGeom>
        <a:ln>
          <a:solidFill>
            <a:schemeClr val="accent4">
              <a:lumMod val="60000"/>
              <a:lumOff val="4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485775</xdr:colOff>
      <xdr:row>38</xdr:row>
      <xdr:rowOff>57150</xdr:rowOff>
    </xdr:from>
    <xdr:to>
      <xdr:col>28</xdr:col>
      <xdr:colOff>352425</xdr:colOff>
      <xdr:row>44</xdr:row>
      <xdr:rowOff>123825</xdr:rowOff>
    </xdr:to>
    <xdr:sp macro="" textlink="">
      <xdr:nvSpPr>
        <xdr:cNvPr id="5" name="Chave Dupla 4">
          <a:extLst>
            <a:ext uri="{FF2B5EF4-FFF2-40B4-BE49-F238E27FC236}">
              <a16:creationId xmlns:a16="http://schemas.microsoft.com/office/drawing/2014/main" id="{76138015-6019-43DA-831F-AB4127DAFAEA}"/>
            </a:ext>
          </a:extLst>
        </xdr:cNvPr>
        <xdr:cNvSpPr/>
      </xdr:nvSpPr>
      <xdr:spPr>
        <a:xfrm>
          <a:off x="15725775" y="7296150"/>
          <a:ext cx="1695450" cy="1209675"/>
        </a:xfrm>
        <a:prstGeom prst="bracePair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b"/>
        <a:lstStyle/>
        <a:p>
          <a:pPr algn="ctr"/>
          <a:r>
            <a:rPr lang="pt-BR" sz="1100" b="1">
              <a:solidFill>
                <a:schemeClr val="accent1"/>
              </a:solidFill>
            </a:rPr>
            <a:t>LOGO</a:t>
          </a:r>
          <a:r>
            <a:rPr lang="pt-BR" sz="1100" b="1" baseline="0">
              <a:solidFill>
                <a:schemeClr val="accent1"/>
              </a:solidFill>
            </a:rPr>
            <a:t> DA EMPRESA</a:t>
          </a:r>
          <a:endParaRPr lang="pt-BR" sz="1100" b="1">
            <a:solidFill>
              <a:schemeClr val="accent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29</xdr:col>
      <xdr:colOff>42154</xdr:colOff>
      <xdr:row>45</xdr:row>
      <xdr:rowOff>176893</xdr:rowOff>
    </xdr:to>
    <xdr:pic>
      <xdr:nvPicPr>
        <xdr:cNvPr id="6" name="Imagem 5" descr="Montanhas de Sal | Data:09-09-2010 Rio Grande do Norte - Lit… | Flickr">
          <a:extLst>
            <a:ext uri="{FF2B5EF4-FFF2-40B4-BE49-F238E27FC236}">
              <a16:creationId xmlns:a16="http://schemas.microsoft.com/office/drawing/2014/main" id="{2064B7B0-F923-4068-B180-C5DBEE5457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081" b="2067"/>
        <a:stretch/>
      </xdr:blipFill>
      <xdr:spPr bwMode="auto">
        <a:xfrm>
          <a:off x="28575" y="0"/>
          <a:ext cx="17691979" cy="8749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0</xdr:row>
      <xdr:rowOff>1</xdr:rowOff>
    </xdr:from>
    <xdr:ext cx="6582250" cy="762000"/>
    <xdr:sp macro="" textlink="">
      <xdr:nvSpPr>
        <xdr:cNvPr id="5" name="Retângulo 4">
          <a:hlinkClick xmlns:r="http://schemas.openxmlformats.org/officeDocument/2006/relationships" r:id="rId2" tooltip="HOME"/>
          <a:extLst>
            <a:ext uri="{FF2B5EF4-FFF2-40B4-BE49-F238E27FC236}">
              <a16:creationId xmlns:a16="http://schemas.microsoft.com/office/drawing/2014/main" id="{4E9199B3-DB54-4334-B2DB-CF50C80482D4}"/>
            </a:ext>
          </a:extLst>
        </xdr:cNvPr>
        <xdr:cNvSpPr/>
      </xdr:nvSpPr>
      <xdr:spPr>
        <a:xfrm>
          <a:off x="0" y="1"/>
          <a:ext cx="6582250" cy="762000"/>
        </a:xfrm>
        <a:prstGeom prst="rect">
          <a:avLst/>
        </a:prstGeom>
        <a:noFill/>
      </xdr:spPr>
      <xdr:txBody>
        <a:bodyPr wrap="none" lIns="91440" tIns="45720" rIns="91440" bIns="45720" anchor="t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pt-BR" sz="4800" b="1" cap="none" spc="0">
              <a:ln/>
              <a:solidFill>
                <a:schemeClr val="accent1"/>
              </a:solidFill>
              <a:effectLst/>
            </a:rPr>
            <a:t>DASHBOARD</a:t>
          </a:r>
          <a:r>
            <a:rPr lang="pt-BR" sz="4800" b="1" cap="none" spc="0" baseline="0">
              <a:ln/>
              <a:solidFill>
                <a:schemeClr val="accent1"/>
              </a:solidFill>
              <a:effectLst/>
            </a:rPr>
            <a:t> DE VENDAS</a:t>
          </a:r>
          <a:endParaRPr lang="pt-BR" sz="4800" b="1" cap="none" spc="0">
            <a:ln/>
            <a:solidFill>
              <a:schemeClr val="accent1"/>
            </a:solidFill>
            <a:effectLst/>
          </a:endParaRPr>
        </a:p>
      </xdr:txBody>
    </xdr:sp>
    <xdr:clientData/>
  </xdr:oneCellAnchor>
  <xdr:twoCellAnchor>
    <xdr:from>
      <xdr:col>0</xdr:col>
      <xdr:colOff>0</xdr:colOff>
      <xdr:row>3</xdr:row>
      <xdr:rowOff>107156</xdr:rowOff>
    </xdr:from>
    <xdr:to>
      <xdr:col>28</xdr:col>
      <xdr:colOff>583407</xdr:colOff>
      <xdr:row>3</xdr:row>
      <xdr:rowOff>107156</xdr:rowOff>
    </xdr:to>
    <xdr:cxnSp macro="">
      <xdr:nvCxnSpPr>
        <xdr:cNvPr id="9" name="Conector reto 8">
          <a:extLst>
            <a:ext uri="{FF2B5EF4-FFF2-40B4-BE49-F238E27FC236}">
              <a16:creationId xmlns:a16="http://schemas.microsoft.com/office/drawing/2014/main" id="{E78F5632-43FB-4981-8CB3-18FACAEAA9EF}"/>
            </a:ext>
          </a:extLst>
        </xdr:cNvPr>
        <xdr:cNvCxnSpPr/>
      </xdr:nvCxnSpPr>
      <xdr:spPr>
        <a:xfrm>
          <a:off x="0" y="678656"/>
          <a:ext cx="17585532" cy="0"/>
        </a:xfrm>
        <a:prstGeom prst="line">
          <a:avLst/>
        </a:prstGeom>
        <a:ln w="38100"/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178595</xdr:colOff>
      <xdr:row>13</xdr:row>
      <xdr:rowOff>178594</xdr:rowOff>
    </xdr:from>
    <xdr:to>
      <xdr:col>11</xdr:col>
      <xdr:colOff>104775</xdr:colOff>
      <xdr:row>30</xdr:row>
      <xdr:rowOff>180975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EC7A872-A268-4577-B600-896B005A475B}"/>
            </a:ext>
          </a:extLst>
        </xdr:cNvPr>
        <xdr:cNvSpPr/>
      </xdr:nvSpPr>
      <xdr:spPr>
        <a:xfrm>
          <a:off x="178595" y="2655094"/>
          <a:ext cx="6631780" cy="3240881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7</xdr:col>
      <xdr:colOff>404813</xdr:colOff>
      <xdr:row>4</xdr:row>
      <xdr:rowOff>83345</xdr:rowOff>
    </xdr:from>
    <xdr:to>
      <xdr:col>9</xdr:col>
      <xdr:colOff>543161</xdr:colOff>
      <xdr:row>11</xdr:row>
      <xdr:rowOff>107156</xdr:rowOff>
    </xdr:to>
    <xdr:pic>
      <xdr:nvPicPr>
        <xdr:cNvPr id="41" name="Imagem 40" descr="Ícones de computador Símbolo de peso, fundo transparente PESO miniatura de clipart PNG">
          <a:extLst>
            <a:ext uri="{FF2B5EF4-FFF2-40B4-BE49-F238E27FC236}">
              <a16:creationId xmlns:a16="http://schemas.microsoft.com/office/drawing/2014/main" id="{5F2D1368-DBC6-4A0E-87A0-2BA38843D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lum bright="70000" contrast="-7000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344" y="845345"/>
          <a:ext cx="1352786" cy="1357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202406</xdr:colOff>
      <xdr:row>4</xdr:row>
      <xdr:rowOff>47626</xdr:rowOff>
    </xdr:from>
    <xdr:to>
      <xdr:col>1</xdr:col>
      <xdr:colOff>586669</xdr:colOff>
      <xdr:row>12</xdr:row>
      <xdr:rowOff>35719</xdr:rowOff>
    </xdr:to>
    <xdr:pic>
      <xdr:nvPicPr>
        <xdr:cNvPr id="39" name="Imagem 38" descr="Saco de dinheiro, fundo transparente Saco de dinheiro miniatura de clipart PNG">
          <a:extLst>
            <a:ext uri="{FF2B5EF4-FFF2-40B4-BE49-F238E27FC236}">
              <a16:creationId xmlns:a16="http://schemas.microsoft.com/office/drawing/2014/main" id="{183D1FCF-AC28-4577-96B4-379B84D10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0" b="100000" l="0" r="100000">
                      <a14:foregroundMark x1="20000" y1="19518" x2="47333" y2="18640"/>
                      <a14:backgroundMark x1="3667" y1="67763" x2="2000" y2="80263"/>
                      <a14:backgroundMark x1="96667" y1="68860" x2="98667" y2="8311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" y="809626"/>
          <a:ext cx="991482" cy="1512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547688</xdr:colOff>
      <xdr:row>4</xdr:row>
      <xdr:rowOff>47624</xdr:rowOff>
    </xdr:from>
    <xdr:to>
      <xdr:col>17</xdr:col>
      <xdr:colOff>297656</xdr:colOff>
      <xdr:row>12</xdr:row>
      <xdr:rowOff>101411</xdr:rowOff>
    </xdr:to>
    <xdr:pic>
      <xdr:nvPicPr>
        <xdr:cNvPr id="27" name="Imagem 26" descr="Rank Icon #321967 - Free Icons Library">
          <a:extLst>
            <a:ext uri="{FF2B5EF4-FFF2-40B4-BE49-F238E27FC236}">
              <a16:creationId xmlns:a16="http://schemas.microsoft.com/office/drawing/2014/main" id="{DB8795F0-53CE-45AA-B8A3-4FEC33DA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1" y="809624"/>
          <a:ext cx="1571624" cy="1577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95248</xdr:colOff>
      <xdr:row>4</xdr:row>
      <xdr:rowOff>7905</xdr:rowOff>
    </xdr:from>
    <xdr:to>
      <xdr:col>7</xdr:col>
      <xdr:colOff>262134</xdr:colOff>
      <xdr:row>12</xdr:row>
      <xdr:rowOff>118305</xdr:rowOff>
    </xdr:to>
    <xdr:grpSp>
      <xdr:nvGrpSpPr>
        <xdr:cNvPr id="21" name="Agrupar 20">
          <a:extLst>
            <a:ext uri="{FF2B5EF4-FFF2-40B4-BE49-F238E27FC236}">
              <a16:creationId xmlns:a16="http://schemas.microsoft.com/office/drawing/2014/main" id="{174BB6A4-E688-4A5A-8839-BCC59929FF63}"/>
            </a:ext>
          </a:extLst>
        </xdr:cNvPr>
        <xdr:cNvGrpSpPr/>
      </xdr:nvGrpSpPr>
      <xdr:grpSpPr>
        <a:xfrm>
          <a:off x="95248" y="733619"/>
          <a:ext cx="4421386" cy="1561829"/>
          <a:chOff x="166687" y="773904"/>
          <a:chExt cx="3605952" cy="1634400"/>
        </a:xfrm>
      </xdr:grpSpPr>
      <xdr:sp macro="" textlink="Analises!I3">
        <xdr:nvSpPr>
          <xdr:cNvPr id="18" name="Retângulo: Cantos Diagonais Arredondados 17">
            <a:extLst>
              <a:ext uri="{FF2B5EF4-FFF2-40B4-BE49-F238E27FC236}">
                <a16:creationId xmlns:a16="http://schemas.microsoft.com/office/drawing/2014/main" id="{C3AF0E83-3D21-4960-AB97-ABA64A591EF0}"/>
              </a:ext>
            </a:extLst>
          </xdr:cNvPr>
          <xdr:cNvSpPr/>
        </xdr:nvSpPr>
        <xdr:spPr>
          <a:xfrm>
            <a:off x="172639" y="773904"/>
            <a:ext cx="3492000" cy="1634400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FD7D9586-287D-4902-BE60-32C572D15E50}" type="TxLink">
              <a:rPr lang="en-US" sz="3600" b="0" i="0" u="none" strike="noStrike">
                <a:solidFill>
                  <a:schemeClr val="bg1"/>
                </a:solidFill>
                <a:latin typeface="Calibri"/>
                <a:cs typeface="Calibri"/>
              </a:rPr>
              <a:pPr algn="ctr"/>
              <a:t> R$23.431.865,00 </a:t>
            </a:fld>
            <a:endParaRPr lang="pt-BR" sz="3600">
              <a:solidFill>
                <a:schemeClr val="bg1"/>
              </a:solidFill>
            </a:endParaRPr>
          </a:p>
        </xdr:txBody>
      </xdr:sp>
      <xdr:sp macro="" textlink="">
        <xdr:nvSpPr>
          <xdr:cNvPr id="13" name="Retângulo: Cantos Diagonais Arredondados 12">
            <a:extLst>
              <a:ext uri="{FF2B5EF4-FFF2-40B4-BE49-F238E27FC236}">
                <a16:creationId xmlns:a16="http://schemas.microsoft.com/office/drawing/2014/main" id="{EFA63ACD-FFEB-450E-9EF4-D303E3A60D2A}"/>
              </a:ext>
            </a:extLst>
          </xdr:cNvPr>
          <xdr:cNvSpPr/>
        </xdr:nvSpPr>
        <xdr:spPr>
          <a:xfrm>
            <a:off x="172639" y="781051"/>
            <a:ext cx="3600000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/>
              <a:t>TOTAL</a:t>
            </a:r>
            <a:r>
              <a:rPr lang="pt-BR" sz="2400" b="1" baseline="0"/>
              <a:t> FATURAMENTO</a:t>
            </a:r>
            <a:endParaRPr lang="pt-BR" sz="2400" b="1"/>
          </a:p>
        </xdr:txBody>
      </xdr:sp>
      <xdr:sp macro="" textlink="Analises!I6">
        <xdr:nvSpPr>
          <xdr:cNvPr id="19" name="Retângulo: Cantos Diagonais Arredondados 18">
            <a:extLst>
              <a:ext uri="{FF2B5EF4-FFF2-40B4-BE49-F238E27FC236}">
                <a16:creationId xmlns:a16="http://schemas.microsoft.com/office/drawing/2014/main" id="{9A4FD38A-5500-4E7A-BF9F-AE407BF7908E}"/>
              </a:ext>
            </a:extLst>
          </xdr:cNvPr>
          <xdr:cNvSpPr/>
        </xdr:nvSpPr>
        <xdr:spPr>
          <a:xfrm>
            <a:off x="166687" y="1931198"/>
            <a:ext cx="2595564" cy="450054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C66C9B19-355D-4300-B526-913C3DDF032C}" type="TxLink">
              <a:rPr lang="en-US" sz="1600">
                <a:solidFill>
                  <a:schemeClr val="lt1"/>
                </a:solidFill>
                <a:latin typeface="+mn-lt"/>
                <a:ea typeface="+mn-ea"/>
                <a:cs typeface="+mn-cs"/>
              </a:rPr>
              <a:pPr marL="0" indent="0" algn="ctr"/>
              <a:t>% ANO ANTERIOR:  22%</a:t>
            </a:fld>
            <a:endParaRPr lang="en-US" sz="16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Analises!J6">
        <xdr:nvSpPr>
          <xdr:cNvPr id="20" name="Retângulo: Cantos Diagonais Arredondados 19">
            <a:extLst>
              <a:ext uri="{FF2B5EF4-FFF2-40B4-BE49-F238E27FC236}">
                <a16:creationId xmlns:a16="http://schemas.microsoft.com/office/drawing/2014/main" id="{E4F5F09E-C3DC-4D5F-B9BD-C141C62EBC9D}"/>
              </a:ext>
            </a:extLst>
          </xdr:cNvPr>
          <xdr:cNvSpPr/>
        </xdr:nvSpPr>
        <xdr:spPr>
          <a:xfrm>
            <a:off x="2762250" y="1931198"/>
            <a:ext cx="1008000" cy="450054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C0938ACD-9933-44D8-B3CA-F61BC99AC6CC}" type="TxLink">
              <a:rPr lang="en-US" sz="3200" b="0" i="0" u="none" strike="noStrike">
                <a:solidFill>
                  <a:schemeClr val="bg1"/>
                </a:solidFill>
                <a:effectLst>
                  <a:outerShdw blurRad="50800" dist="38100" algn="l" rotWithShape="0">
                    <a:prstClr val="black">
                      <a:alpha val="40000"/>
                    </a:prstClr>
                  </a:outerShdw>
                </a:effectLst>
                <a:latin typeface="Wingdings 3"/>
                <a:cs typeface="Calibri"/>
              </a:rPr>
              <a:pPr algn="ctr"/>
              <a:t>p</a:t>
            </a:fld>
            <a:endParaRPr lang="en-US" sz="7200" b="0" i="0" u="none" strike="noStrike">
              <a:solidFill>
                <a:schemeClr val="bg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  <a:latin typeface="Calibri"/>
              <a:cs typeface="Calibri"/>
            </a:endParaRPr>
          </a:p>
        </xdr:txBody>
      </xdr:sp>
    </xdr:grpSp>
    <xdr:clientData/>
  </xdr:twoCellAnchor>
  <xdr:twoCellAnchor editAs="oneCell">
    <xdr:from>
      <xdr:col>21</xdr:col>
      <xdr:colOff>369093</xdr:colOff>
      <xdr:row>4</xdr:row>
      <xdr:rowOff>11905</xdr:rowOff>
    </xdr:from>
    <xdr:to>
      <xdr:col>24</xdr:col>
      <xdr:colOff>130969</xdr:colOff>
      <xdr:row>12</xdr:row>
      <xdr:rowOff>77646</xdr:rowOff>
    </xdr:to>
    <xdr:pic>
      <xdr:nvPicPr>
        <xdr:cNvPr id="30" name="Imagem 29" descr="First Place Ribbon Png – Free PNG Images Vector, PSD, Clipart, Templates">
          <a:extLst>
            <a:ext uri="{FF2B5EF4-FFF2-40B4-BE49-F238E27FC236}">
              <a16:creationId xmlns:a16="http://schemas.microsoft.com/office/drawing/2014/main" id="{86B4702D-5A2B-4332-A6F8-6611E306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0687" y="773905"/>
          <a:ext cx="1583532" cy="1589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292685</xdr:colOff>
      <xdr:row>4</xdr:row>
      <xdr:rowOff>7147</xdr:rowOff>
    </xdr:from>
    <xdr:to>
      <xdr:col>14</xdr:col>
      <xdr:colOff>477062</xdr:colOff>
      <xdr:row>12</xdr:row>
      <xdr:rowOff>119064</xdr:rowOff>
    </xdr:to>
    <xdr:grpSp>
      <xdr:nvGrpSpPr>
        <xdr:cNvPr id="22" name="Agrupar 21">
          <a:extLst>
            <a:ext uri="{FF2B5EF4-FFF2-40B4-BE49-F238E27FC236}">
              <a16:creationId xmlns:a16="http://schemas.microsoft.com/office/drawing/2014/main" id="{F1D3F8C1-8FC3-46C6-8AA5-0958DB8E3A7E}"/>
            </a:ext>
          </a:extLst>
        </xdr:cNvPr>
        <xdr:cNvGrpSpPr/>
      </xdr:nvGrpSpPr>
      <xdr:grpSpPr>
        <a:xfrm>
          <a:off x="4547185" y="732861"/>
          <a:ext cx="4438877" cy="1563346"/>
          <a:chOff x="4543216" y="769147"/>
          <a:chExt cx="4434909" cy="1635917"/>
        </a:xfrm>
      </xdr:grpSpPr>
      <xdr:sp macro="" textlink="Analises!I20">
        <xdr:nvSpPr>
          <xdr:cNvPr id="14" name="Retângulo: Cantos Diagonais Arredondados 13">
            <a:extLst>
              <a:ext uri="{FF2B5EF4-FFF2-40B4-BE49-F238E27FC236}">
                <a16:creationId xmlns:a16="http://schemas.microsoft.com/office/drawing/2014/main" id="{CA7EE0F1-60B5-47D3-9C31-2421EAEE6171}"/>
              </a:ext>
            </a:extLst>
          </xdr:cNvPr>
          <xdr:cNvSpPr/>
        </xdr:nvSpPr>
        <xdr:spPr>
          <a:xfrm>
            <a:off x="4543216" y="769147"/>
            <a:ext cx="4277822" cy="1635917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BDE007D2-5777-48F2-99C5-CD9360DC7362}" type="TxLink">
              <a:rPr lang="en-US" sz="36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1163,72 t</a:t>
            </a:fld>
            <a:endParaRPr lang="pt-BR" sz="3600" b="0" i="0" u="none" strike="noStrike">
              <a:solidFill>
                <a:schemeClr val="bg1"/>
              </a:solidFill>
              <a:latin typeface="Calibri"/>
              <a:ea typeface="+mn-ea"/>
              <a:cs typeface="Calibri"/>
            </a:endParaRPr>
          </a:p>
        </xdr:txBody>
      </xdr:sp>
      <xdr:sp macro="" textlink="">
        <xdr:nvSpPr>
          <xdr:cNvPr id="24" name="Retângulo: Cantos Diagonais Arredondados 23">
            <a:extLst>
              <a:ext uri="{FF2B5EF4-FFF2-40B4-BE49-F238E27FC236}">
                <a16:creationId xmlns:a16="http://schemas.microsoft.com/office/drawing/2014/main" id="{34D75F6D-FCCA-41C4-806A-B01C12108195}"/>
              </a:ext>
            </a:extLst>
          </xdr:cNvPr>
          <xdr:cNvSpPr/>
        </xdr:nvSpPr>
        <xdr:spPr>
          <a:xfrm>
            <a:off x="4556342" y="792958"/>
            <a:ext cx="4410125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/>
              <a:t>TOTAL</a:t>
            </a:r>
            <a:r>
              <a:rPr lang="pt-BR" sz="2400" b="1" baseline="0"/>
              <a:t> TONELADAS</a:t>
            </a:r>
            <a:endParaRPr lang="pt-BR" sz="2400" b="1"/>
          </a:p>
        </xdr:txBody>
      </xdr:sp>
      <xdr:sp macro="" textlink="Analises!U20">
        <xdr:nvSpPr>
          <xdr:cNvPr id="25" name="Retângulo: Cantos Diagonais Arredondados 24">
            <a:extLst>
              <a:ext uri="{FF2B5EF4-FFF2-40B4-BE49-F238E27FC236}">
                <a16:creationId xmlns:a16="http://schemas.microsoft.com/office/drawing/2014/main" id="{1BEFEF3D-6320-469B-A53E-5AAF8778277C}"/>
              </a:ext>
            </a:extLst>
          </xdr:cNvPr>
          <xdr:cNvSpPr/>
        </xdr:nvSpPr>
        <xdr:spPr>
          <a:xfrm>
            <a:off x="4563635" y="1943105"/>
            <a:ext cx="3179656" cy="450054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F2D26E5A-05F4-4C32-B8A6-1012C3342C7F}" type="TxLink">
              <a:rPr lang="en-US" sz="1600">
                <a:solidFill>
                  <a:schemeClr val="lt1"/>
                </a:solidFill>
                <a:latin typeface="+mn-lt"/>
                <a:ea typeface="+mn-ea"/>
                <a:cs typeface="+mn-cs"/>
              </a:rPr>
              <a:pPr marL="0" indent="0" algn="ctr"/>
              <a:t>% ANO ANTERIOR:  17%</a:t>
            </a:fld>
            <a:endParaRPr lang="en-US" sz="16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Analises!V20">
        <xdr:nvSpPr>
          <xdr:cNvPr id="26" name="Retângulo: Cantos Diagonais Arredondados 25">
            <a:extLst>
              <a:ext uri="{FF2B5EF4-FFF2-40B4-BE49-F238E27FC236}">
                <a16:creationId xmlns:a16="http://schemas.microsoft.com/office/drawing/2014/main" id="{CF2569B6-5EAF-420E-B1F6-BE94FC9F24D3}"/>
              </a:ext>
            </a:extLst>
          </xdr:cNvPr>
          <xdr:cNvSpPr/>
        </xdr:nvSpPr>
        <xdr:spPr>
          <a:xfrm>
            <a:off x="7743290" y="1943105"/>
            <a:ext cx="1234835" cy="450054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364F3A47-FDBC-4A64-9AC5-9BE81DF8B87D}" type="TxLink">
              <a:rPr lang="en-US" sz="3200" b="0" i="0" u="none" strike="noStrike">
                <a:solidFill>
                  <a:schemeClr val="bg1"/>
                </a:solidFill>
                <a:effectLst>
                  <a:outerShdw blurRad="50800" dist="38100" algn="l" rotWithShape="0">
                    <a:prstClr val="black">
                      <a:alpha val="40000"/>
                    </a:prstClr>
                  </a:outerShdw>
                </a:effectLst>
                <a:latin typeface="Wingdings 3"/>
                <a:ea typeface="+mn-ea"/>
                <a:cs typeface="Calibri"/>
              </a:rPr>
              <a:pPr marL="0" indent="0" algn="ctr"/>
              <a:t>p</a:t>
            </a:fld>
            <a:endParaRPr lang="en-US" sz="3200" b="0" i="0" u="none" strike="noStrike">
              <a:solidFill>
                <a:schemeClr val="bg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  <a:latin typeface="Wingdings 3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14</xdr:col>
      <xdr:colOff>507613</xdr:colOff>
      <xdr:row>4</xdr:row>
      <xdr:rowOff>7147</xdr:rowOff>
    </xdr:from>
    <xdr:to>
      <xdr:col>21</xdr:col>
      <xdr:colOff>405218</xdr:colOff>
      <xdr:row>12</xdr:row>
      <xdr:rowOff>119064</xdr:rowOff>
    </xdr:to>
    <xdr:grpSp>
      <xdr:nvGrpSpPr>
        <xdr:cNvPr id="23" name="Agrupar 22">
          <a:extLst>
            <a:ext uri="{FF2B5EF4-FFF2-40B4-BE49-F238E27FC236}">
              <a16:creationId xmlns:a16="http://schemas.microsoft.com/office/drawing/2014/main" id="{4CEEE84D-A056-4616-8617-F16AAD2B9531}"/>
            </a:ext>
          </a:extLst>
        </xdr:cNvPr>
        <xdr:cNvGrpSpPr/>
      </xdr:nvGrpSpPr>
      <xdr:grpSpPr>
        <a:xfrm>
          <a:off x="9016613" y="732861"/>
          <a:ext cx="4152105" cy="1563346"/>
          <a:chOff x="9008676" y="769147"/>
          <a:chExt cx="4148136" cy="1635917"/>
        </a:xfrm>
      </xdr:grpSpPr>
      <xdr:sp macro="" textlink="Analises!L19">
        <xdr:nvSpPr>
          <xdr:cNvPr id="15" name="Retângulo: Cantos Diagonais Arredondados 14">
            <a:extLst>
              <a:ext uri="{FF2B5EF4-FFF2-40B4-BE49-F238E27FC236}">
                <a16:creationId xmlns:a16="http://schemas.microsoft.com/office/drawing/2014/main" id="{22E6F853-37E0-4D23-A3E8-699C2123B4F3}"/>
              </a:ext>
            </a:extLst>
          </xdr:cNvPr>
          <xdr:cNvSpPr/>
        </xdr:nvSpPr>
        <xdr:spPr>
          <a:xfrm>
            <a:off x="9008676" y="769147"/>
            <a:ext cx="4148136" cy="1635917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05EA4B4E-EC87-4D0E-B1BE-E28407879532}" type="TxLink">
              <a:rPr lang="en-US" sz="36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EMPRESA B</a:t>
            </a:fld>
            <a:endParaRPr lang="pt-BR" sz="3600" b="0" i="0" u="none" strike="noStrike">
              <a:solidFill>
                <a:schemeClr val="bg1"/>
              </a:solidFill>
              <a:latin typeface="Calibri"/>
              <a:ea typeface="+mn-ea"/>
              <a:cs typeface="Calibri"/>
            </a:endParaRPr>
          </a:p>
        </xdr:txBody>
      </xdr:sp>
      <xdr:sp macro="" textlink="">
        <xdr:nvSpPr>
          <xdr:cNvPr id="31" name="Retângulo: Cantos Diagonais Arredondados 30">
            <a:extLst>
              <a:ext uri="{FF2B5EF4-FFF2-40B4-BE49-F238E27FC236}">
                <a16:creationId xmlns:a16="http://schemas.microsoft.com/office/drawing/2014/main" id="{7FD33542-975F-4F92-9899-93A651D036E6}"/>
              </a:ext>
            </a:extLst>
          </xdr:cNvPr>
          <xdr:cNvSpPr/>
        </xdr:nvSpPr>
        <xdr:spPr>
          <a:xfrm>
            <a:off x="9131195" y="792958"/>
            <a:ext cx="4000518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 baseline="0"/>
              <a:t>EMPRESA DESTAQUE</a:t>
            </a:r>
            <a:endParaRPr lang="pt-BR" sz="2400" b="1"/>
          </a:p>
        </xdr:txBody>
      </xdr:sp>
      <xdr:sp macro="" textlink="Analises!M19">
        <xdr:nvSpPr>
          <xdr:cNvPr id="33" name="Retângulo: Cantos Diagonais Arredondados 32">
            <a:extLst>
              <a:ext uri="{FF2B5EF4-FFF2-40B4-BE49-F238E27FC236}">
                <a16:creationId xmlns:a16="http://schemas.microsoft.com/office/drawing/2014/main" id="{5CDD0926-F4A2-4537-9FE8-55914AA6B6CF}"/>
              </a:ext>
            </a:extLst>
          </xdr:cNvPr>
          <xdr:cNvSpPr/>
        </xdr:nvSpPr>
        <xdr:spPr>
          <a:xfrm>
            <a:off x="9131195" y="1943105"/>
            <a:ext cx="4000518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1F30B6E9-E226-4BD6-93DA-7785C7E957A4}" type="TxLink">
              <a:rPr lang="en-US" sz="1600">
                <a:solidFill>
                  <a:schemeClr val="lt1"/>
                </a:solidFill>
                <a:latin typeface="+mn-lt"/>
                <a:ea typeface="+mn-ea"/>
                <a:cs typeface="+mn-cs"/>
              </a:rPr>
              <a:pPr marL="0" indent="0" algn="ctr"/>
              <a:t> R$8.655.210,00 </a:t>
            </a:fld>
            <a:endParaRPr lang="en-US" sz="16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>
    <xdr:from>
      <xdr:col>21</xdr:col>
      <xdr:colOff>542924</xdr:colOff>
      <xdr:row>4</xdr:row>
      <xdr:rowOff>7147</xdr:rowOff>
    </xdr:from>
    <xdr:to>
      <xdr:col>28</xdr:col>
      <xdr:colOff>440529</xdr:colOff>
      <xdr:row>12</xdr:row>
      <xdr:rowOff>119064</xdr:rowOff>
    </xdr:to>
    <xdr:grpSp>
      <xdr:nvGrpSpPr>
        <xdr:cNvPr id="28" name="Agrupar 27">
          <a:extLst>
            <a:ext uri="{FF2B5EF4-FFF2-40B4-BE49-F238E27FC236}">
              <a16:creationId xmlns:a16="http://schemas.microsoft.com/office/drawing/2014/main" id="{58C67FFD-9692-4AE9-865D-3C7E34DBCE63}"/>
            </a:ext>
          </a:extLst>
        </xdr:cNvPr>
        <xdr:cNvGrpSpPr/>
      </xdr:nvGrpSpPr>
      <xdr:grpSpPr>
        <a:xfrm>
          <a:off x="13306424" y="732861"/>
          <a:ext cx="4152105" cy="1563346"/>
          <a:chOff x="13294518" y="769147"/>
          <a:chExt cx="4148136" cy="1635917"/>
        </a:xfrm>
      </xdr:grpSpPr>
      <xdr:sp macro="" textlink="Analises!AA19">
        <xdr:nvSpPr>
          <xdr:cNvPr id="29" name="Retângulo: Cantos Diagonais Arredondados 28">
            <a:extLst>
              <a:ext uri="{FF2B5EF4-FFF2-40B4-BE49-F238E27FC236}">
                <a16:creationId xmlns:a16="http://schemas.microsoft.com/office/drawing/2014/main" id="{99A072BE-343D-46F6-BE2A-BC892BE0DF99}"/>
              </a:ext>
            </a:extLst>
          </xdr:cNvPr>
          <xdr:cNvSpPr/>
        </xdr:nvSpPr>
        <xdr:spPr>
          <a:xfrm>
            <a:off x="13294518" y="769147"/>
            <a:ext cx="4148136" cy="1635917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27FBD2B5-F2C0-48D8-8B50-4617A7262AA6}" type="TxLink">
              <a:rPr lang="en-US" sz="36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SAL REFINADO 25 KG</a:t>
            </a:fld>
            <a:endParaRPr lang="pt-BR" sz="3600" b="0" i="0" u="none" strike="noStrike">
              <a:solidFill>
                <a:schemeClr val="bg1"/>
              </a:solidFill>
              <a:latin typeface="Calibri"/>
              <a:ea typeface="+mn-ea"/>
              <a:cs typeface="Calibri"/>
            </a:endParaRPr>
          </a:p>
        </xdr:txBody>
      </xdr:sp>
      <xdr:sp macro="" textlink="">
        <xdr:nvSpPr>
          <xdr:cNvPr id="35" name="Retângulo: Cantos Diagonais Arredondados 34">
            <a:extLst>
              <a:ext uri="{FF2B5EF4-FFF2-40B4-BE49-F238E27FC236}">
                <a16:creationId xmlns:a16="http://schemas.microsoft.com/office/drawing/2014/main" id="{BD61B442-6C75-44D1-B185-97246A2AC53A}"/>
              </a:ext>
            </a:extLst>
          </xdr:cNvPr>
          <xdr:cNvSpPr/>
        </xdr:nvSpPr>
        <xdr:spPr>
          <a:xfrm>
            <a:off x="13387866" y="792958"/>
            <a:ext cx="4000518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 baseline="0"/>
              <a:t>MELHOR PRODUTO - R$</a:t>
            </a:r>
            <a:endParaRPr lang="pt-BR" sz="2400" b="1"/>
          </a:p>
        </xdr:txBody>
      </xdr:sp>
      <xdr:sp macro="" textlink="Analises!AB19">
        <xdr:nvSpPr>
          <xdr:cNvPr id="36" name="Retângulo: Cantos Diagonais Arredondados 35">
            <a:extLst>
              <a:ext uri="{FF2B5EF4-FFF2-40B4-BE49-F238E27FC236}">
                <a16:creationId xmlns:a16="http://schemas.microsoft.com/office/drawing/2014/main" id="{DFA6B806-11AC-464B-9B33-990D98AABE04}"/>
              </a:ext>
            </a:extLst>
          </xdr:cNvPr>
          <xdr:cNvSpPr/>
        </xdr:nvSpPr>
        <xdr:spPr>
          <a:xfrm>
            <a:off x="13387866" y="1943105"/>
            <a:ext cx="4000518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4EAD0C7E-7F33-4F8B-98AF-23B44B8977BF}" type="TxLink">
              <a:rPr lang="en-US" sz="16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 R$7.154.100,00 </a:t>
            </a:fld>
            <a:endParaRPr lang="en-US" sz="2400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12</xdr:col>
      <xdr:colOff>593988</xdr:colOff>
      <xdr:row>0</xdr:row>
      <xdr:rowOff>60856</xdr:rowOff>
    </xdr:from>
    <xdr:to>
      <xdr:col>28</xdr:col>
      <xdr:colOff>527843</xdr:colOff>
      <xdr:row>2</xdr:row>
      <xdr:rowOff>168011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7" name="MÊS">
              <a:extLst>
                <a:ext uri="{FF2B5EF4-FFF2-40B4-BE49-F238E27FC236}">
                  <a16:creationId xmlns:a16="http://schemas.microsoft.com/office/drawing/2014/main" id="{BBA0C57E-AFF0-465B-9B8F-F92D6DBCBB62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Ê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09188" y="60856"/>
              <a:ext cx="9687455" cy="48815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>
    <xdr:from>
      <xdr:col>5</xdr:col>
      <xdr:colOff>116416</xdr:colOff>
      <xdr:row>17</xdr:row>
      <xdr:rowOff>31751</xdr:rowOff>
    </xdr:from>
    <xdr:to>
      <xdr:col>10</xdr:col>
      <xdr:colOff>550333</xdr:colOff>
      <xdr:row>30</xdr:row>
      <xdr:rowOff>138643</xdr:rowOff>
    </xdr:to>
    <xdr:graphicFrame macro="">
      <xdr:nvGraphicFramePr>
        <xdr:cNvPr id="34" name="Gráfico 33">
          <a:extLst>
            <a:ext uri="{FF2B5EF4-FFF2-40B4-BE49-F238E27FC236}">
              <a16:creationId xmlns:a16="http://schemas.microsoft.com/office/drawing/2014/main" id="{C5E4E44C-5CD8-47B3-A416-0E83F0181D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176213</xdr:colOff>
      <xdr:row>13</xdr:row>
      <xdr:rowOff>188120</xdr:rowOff>
    </xdr:from>
    <xdr:to>
      <xdr:col>11</xdr:col>
      <xdr:colOff>103534</xdr:colOff>
      <xdr:row>17</xdr:row>
      <xdr:rowOff>23027</xdr:rowOff>
    </xdr:to>
    <xdr:sp macro="" textlink="">
      <xdr:nvSpPr>
        <xdr:cNvPr id="12" name="Retângulo: Cantos Diagonais Arredondados 11">
          <a:extLst>
            <a:ext uri="{FF2B5EF4-FFF2-40B4-BE49-F238E27FC236}">
              <a16:creationId xmlns:a16="http://schemas.microsoft.com/office/drawing/2014/main" id="{039E9F29-3ACE-4849-8B39-2953E2E3D1F3}"/>
            </a:ext>
          </a:extLst>
        </xdr:cNvPr>
        <xdr:cNvSpPr/>
      </xdr:nvSpPr>
      <xdr:spPr>
        <a:xfrm>
          <a:off x="176213" y="2664620"/>
          <a:ext cx="6632921" cy="596907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2000" b="1"/>
            <a:t>META DE FATURAMENTO</a:t>
          </a:r>
        </a:p>
      </xdr:txBody>
    </xdr:sp>
    <xdr:clientData/>
  </xdr:twoCellAnchor>
  <xdr:twoCellAnchor editAs="oneCell">
    <xdr:from>
      <xdr:col>0</xdr:col>
      <xdr:colOff>261938</xdr:colOff>
      <xdr:row>14</xdr:row>
      <xdr:rowOff>69059</xdr:rowOff>
    </xdr:from>
    <xdr:to>
      <xdr:col>1</xdr:col>
      <xdr:colOff>136015</xdr:colOff>
      <xdr:row>16</xdr:row>
      <xdr:rowOff>171451</xdr:rowOff>
    </xdr:to>
    <xdr:pic>
      <xdr:nvPicPr>
        <xdr:cNvPr id="38" name="Imagem 37" descr="ícone Meta, objetivo, win Livre de Roundies Solid Icons">
          <a:extLst>
            <a:ext uri="{FF2B5EF4-FFF2-40B4-BE49-F238E27FC236}">
              <a16:creationId xmlns:a16="http://schemas.microsoft.com/office/drawing/2014/main" id="{55BD373A-A9D3-43A0-9DDB-8D2B64A4E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0" b="100000" l="0" r="100000">
                      <a14:foregroundMark x1="17778" y1="20444" x2="27556" y2="29778"/>
                      <a14:foregroundMark x1="22667" y1="41333" x2="22667" y2="41333"/>
                      <a14:foregroundMark x1="60444" y1="40889" x2="60444" y2="40889"/>
                    </a14:backgroundRemoval>
                  </a14:imgEffect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2736059"/>
          <a:ext cx="483677" cy="483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264584</xdr:colOff>
      <xdr:row>31</xdr:row>
      <xdr:rowOff>8467</xdr:rowOff>
    </xdr:from>
    <xdr:ext cx="1740900" cy="2358231"/>
    <xdr:pic>
      <xdr:nvPicPr>
        <xdr:cNvPr id="8" name="Imagem 7">
          <a:extLst>
            <a:ext uri="{FF2B5EF4-FFF2-40B4-BE49-F238E27FC236}">
              <a16:creationId xmlns:a16="http://schemas.microsoft.com/office/drawing/2014/main" id="{82306CDE-4843-4E00-963C-9F3B9216C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62" r="19623" b="6439"/>
        <a:stretch/>
      </xdr:blipFill>
      <xdr:spPr>
        <a:xfrm>
          <a:off x="264584" y="5913967"/>
          <a:ext cx="1740900" cy="2358231"/>
        </a:xfrm>
        <a:prstGeom prst="rect">
          <a:avLst/>
        </a:prstGeom>
      </xdr:spPr>
    </xdr:pic>
    <xdr:clientData/>
  </xdr:oneCellAnchor>
  <xdr:oneCellAnchor>
    <xdr:from>
      <xdr:col>1</xdr:col>
      <xdr:colOff>252677</xdr:colOff>
      <xdr:row>34</xdr:row>
      <xdr:rowOff>5312</xdr:rowOff>
    </xdr:from>
    <xdr:ext cx="1708460" cy="2303178"/>
    <xdr:pic>
      <xdr:nvPicPr>
        <xdr:cNvPr id="10" name="Imagem 9">
          <a:extLst>
            <a:ext uri="{FF2B5EF4-FFF2-40B4-BE49-F238E27FC236}">
              <a16:creationId xmlns:a16="http://schemas.microsoft.com/office/drawing/2014/main" id="{90B4E244-6EDE-44D6-869B-469F1824BC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3" t="2574" r="19956" b="6048"/>
        <a:stretch/>
      </xdr:blipFill>
      <xdr:spPr>
        <a:xfrm>
          <a:off x="866510" y="6482312"/>
          <a:ext cx="1708460" cy="2303178"/>
        </a:xfrm>
        <a:prstGeom prst="rect">
          <a:avLst/>
        </a:prstGeom>
      </xdr:spPr>
    </xdr:pic>
    <xdr:clientData/>
  </xdr:oneCellAnchor>
  <xdr:twoCellAnchor>
    <xdr:from>
      <xdr:col>12</xdr:col>
      <xdr:colOff>190500</xdr:colOff>
      <xdr:row>13</xdr:row>
      <xdr:rowOff>178594</xdr:rowOff>
    </xdr:from>
    <xdr:to>
      <xdr:col>28</xdr:col>
      <xdr:colOff>188118</xdr:colOff>
      <xdr:row>31</xdr:row>
      <xdr:rowOff>142875</xdr:rowOff>
    </xdr:to>
    <xdr:sp macro="" textlink="">
      <xdr:nvSpPr>
        <xdr:cNvPr id="43" name="Retângulo 42">
          <a:extLst>
            <a:ext uri="{FF2B5EF4-FFF2-40B4-BE49-F238E27FC236}">
              <a16:creationId xmlns:a16="http://schemas.microsoft.com/office/drawing/2014/main" id="{A48E74CE-161A-454C-977C-D21C3CE34CD5}"/>
            </a:ext>
          </a:extLst>
        </xdr:cNvPr>
        <xdr:cNvSpPr/>
      </xdr:nvSpPr>
      <xdr:spPr>
        <a:xfrm>
          <a:off x="7505700" y="2655094"/>
          <a:ext cx="9751218" cy="3393281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12</xdr:col>
      <xdr:colOff>214645</xdr:colOff>
      <xdr:row>13</xdr:row>
      <xdr:rowOff>188120</xdr:rowOff>
    </xdr:from>
    <xdr:to>
      <xdr:col>28</xdr:col>
      <xdr:colOff>188119</xdr:colOff>
      <xdr:row>17</xdr:row>
      <xdr:rowOff>28575</xdr:rowOff>
    </xdr:to>
    <xdr:sp macro="" textlink="">
      <xdr:nvSpPr>
        <xdr:cNvPr id="16" name="Retângulo: Cantos Diagonais Arredondados 15">
          <a:extLst>
            <a:ext uri="{FF2B5EF4-FFF2-40B4-BE49-F238E27FC236}">
              <a16:creationId xmlns:a16="http://schemas.microsoft.com/office/drawing/2014/main" id="{362FD44D-D0A5-4B03-8A2A-A6E52D7B8613}"/>
            </a:ext>
          </a:extLst>
        </xdr:cNvPr>
        <xdr:cNvSpPr/>
      </xdr:nvSpPr>
      <xdr:spPr>
        <a:xfrm>
          <a:off x="7529845" y="2664620"/>
          <a:ext cx="9727074" cy="602455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pt-BR" sz="2000" b="1">
              <a:solidFill>
                <a:schemeClr val="lt1"/>
              </a:solidFill>
              <a:latin typeface="+mn-lt"/>
              <a:ea typeface="+mn-ea"/>
              <a:cs typeface="+mn-cs"/>
            </a:rPr>
            <a:t>FATURAMENTO POR PRODUTO</a:t>
          </a:r>
        </a:p>
      </xdr:txBody>
    </xdr:sp>
    <xdr:clientData/>
  </xdr:twoCellAnchor>
  <xdr:twoCellAnchor>
    <xdr:from>
      <xdr:col>12</xdr:col>
      <xdr:colOff>228600</xdr:colOff>
      <xdr:row>17</xdr:row>
      <xdr:rowOff>59532</xdr:rowOff>
    </xdr:from>
    <xdr:to>
      <xdr:col>28</xdr:col>
      <xdr:colOff>80962</xdr:colOff>
      <xdr:row>31</xdr:row>
      <xdr:rowOff>142875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8D2D875C-7000-445E-AD7D-792E09698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554831</xdr:colOff>
      <xdr:row>14</xdr:row>
      <xdr:rowOff>71439</xdr:rowOff>
    </xdr:from>
    <xdr:to>
      <xdr:col>13</xdr:col>
      <xdr:colOff>214570</xdr:colOff>
      <xdr:row>16</xdr:row>
      <xdr:rowOff>171450</xdr:rowOff>
    </xdr:to>
    <xdr:pic>
      <xdr:nvPicPr>
        <xdr:cNvPr id="51" name="Imagem 50" descr="Custo, Gerenciamento De Projeto, Serviço png transparente grátis">
          <a:extLst>
            <a:ext uri="{FF2B5EF4-FFF2-40B4-BE49-F238E27FC236}">
              <a16:creationId xmlns:a16="http://schemas.microsoft.com/office/drawing/2014/main" id="{C8534565-3757-4BA9-B769-006BB096D90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5455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185" t="7198" r="35025" b="15151"/>
        <a:stretch/>
      </xdr:blipFill>
      <xdr:spPr bwMode="auto">
        <a:xfrm>
          <a:off x="7870031" y="2738439"/>
          <a:ext cx="269339" cy="481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603250</xdr:colOff>
      <xdr:row>32</xdr:row>
      <xdr:rowOff>136262</xdr:rowOff>
    </xdr:from>
    <xdr:to>
      <xdr:col>28</xdr:col>
      <xdr:colOff>423333</xdr:colOff>
      <xdr:row>45</xdr:row>
      <xdr:rowOff>105834</xdr:rowOff>
    </xdr:to>
    <xdr:sp macro="" textlink="">
      <xdr:nvSpPr>
        <xdr:cNvPr id="54" name="Retângulo 53">
          <a:extLst>
            <a:ext uri="{FF2B5EF4-FFF2-40B4-BE49-F238E27FC236}">
              <a16:creationId xmlns:a16="http://schemas.microsoft.com/office/drawing/2014/main" id="{85A1A99E-CF8C-42C7-B9E1-1908A7E21EEE}"/>
            </a:ext>
          </a:extLst>
        </xdr:cNvPr>
        <xdr:cNvSpPr/>
      </xdr:nvSpPr>
      <xdr:spPr>
        <a:xfrm>
          <a:off x="5513917" y="6232262"/>
          <a:ext cx="12096749" cy="2446072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18585</xdr:colOff>
      <xdr:row>32</xdr:row>
      <xdr:rowOff>145787</xdr:rowOff>
    </xdr:from>
    <xdr:to>
      <xdr:col>28</xdr:col>
      <xdr:colOff>422756</xdr:colOff>
      <xdr:row>35</xdr:row>
      <xdr:rowOff>176742</xdr:rowOff>
    </xdr:to>
    <xdr:sp macro="" textlink="">
      <xdr:nvSpPr>
        <xdr:cNvPr id="55" name="Retângulo: Cantos Diagonais Arredondados 54">
          <a:extLst>
            <a:ext uri="{FF2B5EF4-FFF2-40B4-BE49-F238E27FC236}">
              <a16:creationId xmlns:a16="http://schemas.microsoft.com/office/drawing/2014/main" id="{2FD67C37-6671-40FC-8F09-8C9EE319F970}"/>
            </a:ext>
          </a:extLst>
        </xdr:cNvPr>
        <xdr:cNvSpPr/>
      </xdr:nvSpPr>
      <xdr:spPr>
        <a:xfrm>
          <a:off x="5543085" y="6241787"/>
          <a:ext cx="12067004" cy="602455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pt-BR" sz="2000" b="1">
              <a:solidFill>
                <a:schemeClr val="lt1"/>
              </a:solidFill>
              <a:latin typeface="+mn-lt"/>
              <a:ea typeface="+mn-ea"/>
              <a:cs typeface="+mn-cs"/>
            </a:rPr>
            <a:t>EVOLUÇÃO</a:t>
          </a:r>
          <a:r>
            <a:rPr lang="pt-BR" sz="2000" b="1" baseline="0">
              <a:solidFill>
                <a:schemeClr val="lt1"/>
              </a:solidFill>
              <a:latin typeface="+mn-lt"/>
              <a:ea typeface="+mn-ea"/>
              <a:cs typeface="+mn-cs"/>
            </a:rPr>
            <a:t> MENSAL</a:t>
          </a:r>
          <a:endParaRPr lang="pt-BR" sz="2000" b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571500</xdr:colOff>
      <xdr:row>35</xdr:row>
      <xdr:rowOff>179917</xdr:rowOff>
    </xdr:from>
    <xdr:to>
      <xdr:col>28</xdr:col>
      <xdr:colOff>222250</xdr:colOff>
      <xdr:row>45</xdr:row>
      <xdr:rowOff>52918</xdr:rowOff>
    </xdr:to>
    <xdr:graphicFrame macro="">
      <xdr:nvGraphicFramePr>
        <xdr:cNvPr id="53" name="Gráfico 52">
          <a:extLst>
            <a:ext uri="{FF2B5EF4-FFF2-40B4-BE49-F238E27FC236}">
              <a16:creationId xmlns:a16="http://schemas.microsoft.com/office/drawing/2014/main" id="{BD78DF6E-64DB-4B49-9141-29DB114FE5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242099</xdr:colOff>
      <xdr:row>19</xdr:row>
      <xdr:rowOff>152770</xdr:rowOff>
    </xdr:from>
    <xdr:to>
      <xdr:col>3</xdr:col>
      <xdr:colOff>275169</xdr:colOff>
      <xdr:row>22</xdr:row>
      <xdr:rowOff>31324</xdr:rowOff>
    </xdr:to>
    <xdr:sp macro="" textlink="">
      <xdr:nvSpPr>
        <xdr:cNvPr id="57" name="Retângulo: Cantos Diagonais Arredondados 56">
          <a:extLst>
            <a:ext uri="{FF2B5EF4-FFF2-40B4-BE49-F238E27FC236}">
              <a16:creationId xmlns:a16="http://schemas.microsoft.com/office/drawing/2014/main" id="{9999E3F3-5FBA-49A2-AF63-1D72306902D0}"/>
            </a:ext>
          </a:extLst>
        </xdr:cNvPr>
        <xdr:cNvSpPr/>
      </xdr:nvSpPr>
      <xdr:spPr>
        <a:xfrm>
          <a:off x="855932" y="3772270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en-US" sz="1600" b="1" i="0" u="none" strike="noStrike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EMPRESA A</a:t>
          </a:r>
        </a:p>
      </xdr:txBody>
    </xdr:sp>
    <xdr:clientData/>
  </xdr:twoCellAnchor>
  <xdr:twoCellAnchor>
    <xdr:from>
      <xdr:col>3</xdr:col>
      <xdr:colOff>317504</xdr:colOff>
      <xdr:row>19</xdr:row>
      <xdr:rowOff>152797</xdr:rowOff>
    </xdr:from>
    <xdr:to>
      <xdr:col>3</xdr:col>
      <xdr:colOff>317504</xdr:colOff>
      <xdr:row>22</xdr:row>
      <xdr:rowOff>31297</xdr:rowOff>
    </xdr:to>
    <xdr:cxnSp macro="">
      <xdr:nvCxnSpPr>
        <xdr:cNvPr id="63" name="Conector reto 62">
          <a:extLst>
            <a:ext uri="{FF2B5EF4-FFF2-40B4-BE49-F238E27FC236}">
              <a16:creationId xmlns:a16="http://schemas.microsoft.com/office/drawing/2014/main" id="{8CA28C98-1BAF-40C8-8B9C-FA80EDCE2C07}"/>
            </a:ext>
          </a:extLst>
        </xdr:cNvPr>
        <xdr:cNvCxnSpPr/>
      </xdr:nvCxnSpPr>
      <xdr:spPr>
        <a:xfrm>
          <a:off x="2159004" y="3772297"/>
          <a:ext cx="0" cy="45000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390262</xdr:colOff>
      <xdr:row>19</xdr:row>
      <xdr:rowOff>152770</xdr:rowOff>
    </xdr:from>
    <xdr:to>
      <xdr:col>5</xdr:col>
      <xdr:colOff>423332</xdr:colOff>
      <xdr:row>22</xdr:row>
      <xdr:rowOff>31324</xdr:rowOff>
    </xdr:to>
    <xdr:sp macro="" textlink="Analises!Q1">
      <xdr:nvSpPr>
        <xdr:cNvPr id="64" name="Retângulo: Cantos Diagonais Arredondados 63">
          <a:extLst>
            <a:ext uri="{FF2B5EF4-FFF2-40B4-BE49-F238E27FC236}">
              <a16:creationId xmlns:a16="http://schemas.microsoft.com/office/drawing/2014/main" id="{DDB39B93-3FA6-4987-91A3-83FBDBBEB321}"/>
            </a:ext>
          </a:extLst>
        </xdr:cNvPr>
        <xdr:cNvSpPr/>
      </xdr:nvSpPr>
      <xdr:spPr>
        <a:xfrm>
          <a:off x="2231762" y="3772270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fld id="{E11F8BD9-AFA5-4585-B163-F5FC9A23DDD5}" type="TxLink">
            <a:rPr lang="en-US" sz="1800" b="1" i="0" u="none" strike="noStrike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pPr marL="0" indent="0" algn="l"/>
            <a:t>7,1 Mi</a:t>
          </a:fld>
          <a:endParaRPr lang="en-US" sz="1800" b="1" i="0" u="none" strike="noStrike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189178</xdr:colOff>
      <xdr:row>19</xdr:row>
      <xdr:rowOff>152770</xdr:rowOff>
    </xdr:from>
    <xdr:to>
      <xdr:col>2</xdr:col>
      <xdr:colOff>222248</xdr:colOff>
      <xdr:row>22</xdr:row>
      <xdr:rowOff>31324</xdr:rowOff>
    </xdr:to>
    <xdr:sp macro="" textlink="Analises!R1">
      <xdr:nvSpPr>
        <xdr:cNvPr id="66" name="Retângulo: Cantos Diagonais Arredondados 65">
          <a:extLst>
            <a:ext uri="{FF2B5EF4-FFF2-40B4-BE49-F238E27FC236}">
              <a16:creationId xmlns:a16="http://schemas.microsoft.com/office/drawing/2014/main" id="{9E97DC25-1DA7-4D38-ADEC-63CB28C9F3B3}"/>
            </a:ext>
          </a:extLst>
        </xdr:cNvPr>
        <xdr:cNvSpPr/>
      </xdr:nvSpPr>
      <xdr:spPr>
        <a:xfrm>
          <a:off x="189178" y="3772270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fld id="{02A9B950-CC4A-4524-9781-7C796D143264}" type="TxLink">
            <a:rPr lang="en-US" sz="4400" b="0" i="0" u="none" strike="noStrike">
              <a:solidFill>
                <a:schemeClr val="accent1">
                  <a:lumMod val="75000"/>
                </a:schemeClr>
              </a:solidFill>
              <a:effectLst>
                <a:outerShdw blurRad="60007" dist="310007" dir="7680000" sy="30000" kx="1300200" algn="ctr" rotWithShape="0">
                  <a:prstClr val="black">
                    <a:alpha val="32000"/>
                  </a:prstClr>
                </a:outerShdw>
              </a:effectLst>
              <a:latin typeface="Webdings"/>
              <a:ea typeface="+mn-ea"/>
              <a:cs typeface="Calibri"/>
            </a:rPr>
            <a:pPr marL="0" indent="0" algn="l"/>
            <a:t> </a:t>
          </a:fld>
          <a:endParaRPr lang="en-US" sz="6000" b="1" i="0" u="none" strike="noStrike">
            <a:solidFill>
              <a:schemeClr val="accent1">
                <a:lumMod val="75000"/>
              </a:schemeClr>
            </a:solidFill>
            <a:effectLst>
              <a:outerShdw blurRad="60007" dist="310007" dir="7680000" sy="30000" kx="1300200" algn="ctr" rotWithShape="0">
                <a:prstClr val="black">
                  <a:alpha val="32000"/>
                </a:prstClr>
              </a:outerShdw>
            </a:effectLst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242099</xdr:colOff>
      <xdr:row>24</xdr:row>
      <xdr:rowOff>15186</xdr:rowOff>
    </xdr:from>
    <xdr:to>
      <xdr:col>3</xdr:col>
      <xdr:colOff>275169</xdr:colOff>
      <xdr:row>26</xdr:row>
      <xdr:rowOff>84240</xdr:rowOff>
    </xdr:to>
    <xdr:sp macro="" textlink="">
      <xdr:nvSpPr>
        <xdr:cNvPr id="68" name="Retângulo: Cantos Diagonais Arredondados 67">
          <a:extLst>
            <a:ext uri="{FF2B5EF4-FFF2-40B4-BE49-F238E27FC236}">
              <a16:creationId xmlns:a16="http://schemas.microsoft.com/office/drawing/2014/main" id="{4711D08D-4B62-48B5-8D9D-48E157431720}"/>
            </a:ext>
          </a:extLst>
        </xdr:cNvPr>
        <xdr:cNvSpPr/>
      </xdr:nvSpPr>
      <xdr:spPr>
        <a:xfrm>
          <a:off x="855932" y="4587186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en-US" sz="1600" b="1" i="0" u="none" strike="noStrike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EMPRESA B</a:t>
          </a:r>
        </a:p>
      </xdr:txBody>
    </xdr:sp>
    <xdr:clientData/>
  </xdr:twoCellAnchor>
  <xdr:twoCellAnchor>
    <xdr:from>
      <xdr:col>3</xdr:col>
      <xdr:colOff>317504</xdr:colOff>
      <xdr:row>24</xdr:row>
      <xdr:rowOff>15213</xdr:rowOff>
    </xdr:from>
    <xdr:to>
      <xdr:col>3</xdr:col>
      <xdr:colOff>317504</xdr:colOff>
      <xdr:row>26</xdr:row>
      <xdr:rowOff>84213</xdr:rowOff>
    </xdr:to>
    <xdr:cxnSp macro="">
      <xdr:nvCxnSpPr>
        <xdr:cNvPr id="69" name="Conector reto 68">
          <a:extLst>
            <a:ext uri="{FF2B5EF4-FFF2-40B4-BE49-F238E27FC236}">
              <a16:creationId xmlns:a16="http://schemas.microsoft.com/office/drawing/2014/main" id="{B6352725-5170-43C0-8A45-AB2352B7F4E3}"/>
            </a:ext>
          </a:extLst>
        </xdr:cNvPr>
        <xdr:cNvCxnSpPr/>
      </xdr:nvCxnSpPr>
      <xdr:spPr>
        <a:xfrm>
          <a:off x="2159004" y="4587213"/>
          <a:ext cx="0" cy="45000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390262</xdr:colOff>
      <xdr:row>24</xdr:row>
      <xdr:rowOff>15186</xdr:rowOff>
    </xdr:from>
    <xdr:to>
      <xdr:col>5</xdr:col>
      <xdr:colOff>423332</xdr:colOff>
      <xdr:row>26</xdr:row>
      <xdr:rowOff>84240</xdr:rowOff>
    </xdr:to>
    <xdr:sp macro="" textlink="Analises!Q2">
      <xdr:nvSpPr>
        <xdr:cNvPr id="70" name="Retângulo: Cantos Diagonais Arredondados 69">
          <a:extLst>
            <a:ext uri="{FF2B5EF4-FFF2-40B4-BE49-F238E27FC236}">
              <a16:creationId xmlns:a16="http://schemas.microsoft.com/office/drawing/2014/main" id="{AC0CEA3B-8B67-41B8-B4C8-09303988EC83}"/>
            </a:ext>
          </a:extLst>
        </xdr:cNvPr>
        <xdr:cNvSpPr/>
      </xdr:nvSpPr>
      <xdr:spPr>
        <a:xfrm>
          <a:off x="2231762" y="4587186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fld id="{912941E8-57DF-4166-94D8-A366BECFA652}" type="TxLink">
            <a:rPr lang="en-US" sz="1800" b="1" i="0" u="none" strike="noStrike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pPr marL="0" indent="0" algn="l"/>
            <a:t>8,7 Mi</a:t>
          </a:fld>
          <a:endParaRPr lang="en-US" sz="1800" b="1" i="0" u="none" strike="noStrike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189178</xdr:colOff>
      <xdr:row>24</xdr:row>
      <xdr:rowOff>15186</xdr:rowOff>
    </xdr:from>
    <xdr:to>
      <xdr:col>2</xdr:col>
      <xdr:colOff>222248</xdr:colOff>
      <xdr:row>26</xdr:row>
      <xdr:rowOff>84240</xdr:rowOff>
    </xdr:to>
    <xdr:sp macro="" textlink="Analises!R2">
      <xdr:nvSpPr>
        <xdr:cNvPr id="71" name="Retângulo: Cantos Diagonais Arredondados 70">
          <a:extLst>
            <a:ext uri="{FF2B5EF4-FFF2-40B4-BE49-F238E27FC236}">
              <a16:creationId xmlns:a16="http://schemas.microsoft.com/office/drawing/2014/main" id="{8468C7B6-88C2-4BBC-A39A-AE647DD7D737}"/>
            </a:ext>
          </a:extLst>
        </xdr:cNvPr>
        <xdr:cNvSpPr/>
      </xdr:nvSpPr>
      <xdr:spPr>
        <a:xfrm>
          <a:off x="189178" y="4587186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fld id="{A724391F-78A8-4ABB-9341-4E4CFB497472}" type="TxLink">
            <a:rPr lang="en-US" sz="4400" b="0" i="0" u="none" strike="noStrike">
              <a:solidFill>
                <a:schemeClr val="accent1">
                  <a:lumMod val="75000"/>
                </a:schemeClr>
              </a:solidFill>
              <a:effectLst>
                <a:outerShdw blurRad="60007" dist="310007" dir="7680000" sy="30000" kx="1300200" algn="ctr" rotWithShape="0">
                  <a:prstClr val="black">
                    <a:alpha val="32000"/>
                  </a:prstClr>
                </a:outerShdw>
              </a:effectLst>
              <a:latin typeface="Webdings"/>
              <a:ea typeface="+mn-ea"/>
              <a:cs typeface="Calibri"/>
            </a:rPr>
            <a:pPr marL="0" indent="0" algn="l"/>
            <a:t>%</a:t>
          </a:fld>
          <a:endParaRPr lang="en-US" sz="4400" b="0" i="0" u="none" strike="noStrike">
            <a:solidFill>
              <a:schemeClr val="accent1">
                <a:lumMod val="75000"/>
              </a:schemeClr>
            </a:solidFill>
            <a:effectLst>
              <a:outerShdw blurRad="60007" dist="310007" dir="7680000" sy="30000" kx="1300200" algn="ctr" rotWithShape="0">
                <a:prstClr val="black">
                  <a:alpha val="32000"/>
                </a:prstClr>
              </a:outerShdw>
            </a:effectLst>
            <a:latin typeface="Webdings"/>
            <a:ea typeface="+mn-ea"/>
            <a:cs typeface="Calibri"/>
          </a:endParaRPr>
        </a:p>
      </xdr:txBody>
    </xdr:sp>
    <xdr:clientData/>
  </xdr:twoCellAnchor>
  <xdr:twoCellAnchor>
    <xdr:from>
      <xdr:col>1</xdr:col>
      <xdr:colOff>242099</xdr:colOff>
      <xdr:row>27</xdr:row>
      <xdr:rowOff>173936</xdr:rowOff>
    </xdr:from>
    <xdr:to>
      <xdr:col>3</xdr:col>
      <xdr:colOff>275169</xdr:colOff>
      <xdr:row>30</xdr:row>
      <xdr:rowOff>52490</xdr:rowOff>
    </xdr:to>
    <xdr:sp macro="" textlink="">
      <xdr:nvSpPr>
        <xdr:cNvPr id="72" name="Retângulo: Cantos Diagonais Arredondados 71">
          <a:extLst>
            <a:ext uri="{FF2B5EF4-FFF2-40B4-BE49-F238E27FC236}">
              <a16:creationId xmlns:a16="http://schemas.microsoft.com/office/drawing/2014/main" id="{4C212264-192D-41A0-9A3C-1AFE3E7B9FEF}"/>
            </a:ext>
          </a:extLst>
        </xdr:cNvPr>
        <xdr:cNvSpPr/>
      </xdr:nvSpPr>
      <xdr:spPr>
        <a:xfrm>
          <a:off x="855932" y="5317436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en-US" sz="1600" b="1" i="0" u="none" strike="noStrike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t>EMPRESA C</a:t>
          </a:r>
        </a:p>
      </xdr:txBody>
    </xdr:sp>
    <xdr:clientData/>
  </xdr:twoCellAnchor>
  <xdr:twoCellAnchor>
    <xdr:from>
      <xdr:col>3</xdr:col>
      <xdr:colOff>317504</xdr:colOff>
      <xdr:row>27</xdr:row>
      <xdr:rowOff>173963</xdr:rowOff>
    </xdr:from>
    <xdr:to>
      <xdr:col>3</xdr:col>
      <xdr:colOff>317504</xdr:colOff>
      <xdr:row>30</xdr:row>
      <xdr:rowOff>52463</xdr:rowOff>
    </xdr:to>
    <xdr:cxnSp macro="">
      <xdr:nvCxnSpPr>
        <xdr:cNvPr id="73" name="Conector reto 72">
          <a:extLst>
            <a:ext uri="{FF2B5EF4-FFF2-40B4-BE49-F238E27FC236}">
              <a16:creationId xmlns:a16="http://schemas.microsoft.com/office/drawing/2014/main" id="{9009C423-8173-4E6A-86E6-9C5F1A5190ED}"/>
            </a:ext>
          </a:extLst>
        </xdr:cNvPr>
        <xdr:cNvCxnSpPr/>
      </xdr:nvCxnSpPr>
      <xdr:spPr>
        <a:xfrm>
          <a:off x="2159004" y="5317463"/>
          <a:ext cx="0" cy="450000"/>
        </a:xfrm>
        <a:prstGeom prst="lin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390262</xdr:colOff>
      <xdr:row>27</xdr:row>
      <xdr:rowOff>173936</xdr:rowOff>
    </xdr:from>
    <xdr:to>
      <xdr:col>5</xdr:col>
      <xdr:colOff>423332</xdr:colOff>
      <xdr:row>30</xdr:row>
      <xdr:rowOff>52490</xdr:rowOff>
    </xdr:to>
    <xdr:sp macro="" textlink="Analises!Q3">
      <xdr:nvSpPr>
        <xdr:cNvPr id="74" name="Retângulo: Cantos Diagonais Arredondados 73">
          <a:extLst>
            <a:ext uri="{FF2B5EF4-FFF2-40B4-BE49-F238E27FC236}">
              <a16:creationId xmlns:a16="http://schemas.microsoft.com/office/drawing/2014/main" id="{7B9BF36F-483C-4CBF-8759-D5D2A3245766}"/>
            </a:ext>
          </a:extLst>
        </xdr:cNvPr>
        <xdr:cNvSpPr/>
      </xdr:nvSpPr>
      <xdr:spPr>
        <a:xfrm>
          <a:off x="2231762" y="5317436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fld id="{25930087-C0C3-4656-9E92-407C0E6F8365}" type="TxLink">
            <a:rPr lang="en-US" sz="1800" b="1" i="0" u="none" strike="noStrike">
              <a:solidFill>
                <a:schemeClr val="accent1">
                  <a:lumMod val="75000"/>
                </a:schemeClr>
              </a:solidFill>
              <a:latin typeface="+mn-lt"/>
              <a:ea typeface="+mn-ea"/>
              <a:cs typeface="+mn-cs"/>
            </a:rPr>
            <a:pPr marL="0" indent="0" algn="l"/>
            <a:t>7,7 Mi</a:t>
          </a:fld>
          <a:endParaRPr lang="en-US" sz="1800" b="1" i="0" u="none" strike="noStrike">
            <a:solidFill>
              <a:schemeClr val="accent1">
                <a:lumMod val="75000"/>
              </a:schemeClr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189178</xdr:colOff>
      <xdr:row>27</xdr:row>
      <xdr:rowOff>173936</xdr:rowOff>
    </xdr:from>
    <xdr:to>
      <xdr:col>2</xdr:col>
      <xdr:colOff>222248</xdr:colOff>
      <xdr:row>30</xdr:row>
      <xdr:rowOff>52490</xdr:rowOff>
    </xdr:to>
    <xdr:sp macro="" textlink="Analises!R3">
      <xdr:nvSpPr>
        <xdr:cNvPr id="75" name="Retângulo: Cantos Diagonais Arredondados 74">
          <a:extLst>
            <a:ext uri="{FF2B5EF4-FFF2-40B4-BE49-F238E27FC236}">
              <a16:creationId xmlns:a16="http://schemas.microsoft.com/office/drawing/2014/main" id="{FA272D22-F44C-40BC-B4F0-9555650C5626}"/>
            </a:ext>
          </a:extLst>
        </xdr:cNvPr>
        <xdr:cNvSpPr/>
      </xdr:nvSpPr>
      <xdr:spPr>
        <a:xfrm>
          <a:off x="189178" y="5317436"/>
          <a:ext cx="1260737" cy="450054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fld id="{21781F2B-FD0E-4B55-ADA2-3C8F1B6B869A}" type="TxLink">
            <a:rPr lang="en-US" sz="4400" b="0" i="0" u="none" strike="noStrike">
              <a:solidFill>
                <a:schemeClr val="accent1">
                  <a:lumMod val="75000"/>
                </a:schemeClr>
              </a:solidFill>
              <a:effectLst>
                <a:outerShdw blurRad="60007" dist="310007" dir="7680000" sy="30000" kx="1300200" algn="ctr" rotWithShape="0">
                  <a:prstClr val="black">
                    <a:alpha val="32000"/>
                  </a:prstClr>
                </a:outerShdw>
              </a:effectLst>
              <a:latin typeface="Webdings"/>
              <a:ea typeface="+mn-ea"/>
              <a:cs typeface="Calibri"/>
            </a:rPr>
            <a:pPr marL="0" indent="0" algn="l"/>
            <a:t> </a:t>
          </a:fld>
          <a:endParaRPr lang="en-US" sz="4400" b="0" i="0" u="none" strike="noStrike">
            <a:solidFill>
              <a:schemeClr val="accent1">
                <a:lumMod val="75000"/>
              </a:schemeClr>
            </a:solidFill>
            <a:effectLst>
              <a:outerShdw blurRad="60007" dist="310007" dir="7680000" sy="30000" kx="1300200" algn="ctr" rotWithShape="0">
                <a:prstClr val="black">
                  <a:alpha val="32000"/>
                </a:prstClr>
              </a:outerShdw>
            </a:effectLst>
            <a:latin typeface="Webdings"/>
            <a:ea typeface="+mn-ea"/>
            <a:cs typeface="Calibri"/>
          </a:endParaRPr>
        </a:p>
      </xdr:txBody>
    </xdr:sp>
    <xdr:clientData/>
  </xdr:twoCellAnchor>
  <xdr:twoCellAnchor>
    <xdr:from>
      <xdr:col>0</xdr:col>
      <xdr:colOff>171450</xdr:colOff>
      <xdr:row>16</xdr:row>
      <xdr:rowOff>124194</xdr:rowOff>
    </xdr:from>
    <xdr:to>
      <xdr:col>3</xdr:col>
      <xdr:colOff>438150</xdr:colOff>
      <xdr:row>19</xdr:row>
      <xdr:rowOff>95249</xdr:rowOff>
    </xdr:to>
    <xdr:sp macro="" textlink="">
      <xdr:nvSpPr>
        <xdr:cNvPr id="76" name="Retângulo: Cantos Diagonais Arredondados 75">
          <a:extLst>
            <a:ext uri="{FF2B5EF4-FFF2-40B4-BE49-F238E27FC236}">
              <a16:creationId xmlns:a16="http://schemas.microsoft.com/office/drawing/2014/main" id="{9D93A406-04EC-44FE-B912-87C16B8143EE}"/>
            </a:ext>
          </a:extLst>
        </xdr:cNvPr>
        <xdr:cNvSpPr/>
      </xdr:nvSpPr>
      <xdr:spPr>
        <a:xfrm>
          <a:off x="171450" y="3172194"/>
          <a:ext cx="2095500" cy="542555"/>
        </a:xfrm>
        <a:prstGeom prst="round2DiagRect">
          <a:avLst>
            <a:gd name="adj1" fmla="val 0"/>
            <a:gd name="adj2" fmla="val 0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en-US" sz="2000" b="1" i="0" u="none" strike="noStrike">
              <a:ln>
                <a:noFill/>
              </a:ln>
              <a:solidFill>
                <a:schemeClr val="accent1"/>
              </a:solidFill>
              <a:latin typeface="+mn-lt"/>
              <a:ea typeface="+mn-ea"/>
              <a:cs typeface="+mn-cs"/>
            </a:rPr>
            <a:t>CONTRIBUIÇÃO</a:t>
          </a:r>
        </a:p>
      </xdr:txBody>
    </xdr:sp>
    <xdr:clientData/>
  </xdr:twoCellAnchor>
  <xdr:twoCellAnchor>
    <xdr:from>
      <xdr:col>0</xdr:col>
      <xdr:colOff>295275</xdr:colOff>
      <xdr:row>18</xdr:row>
      <xdr:rowOff>152400</xdr:rowOff>
    </xdr:from>
    <xdr:to>
      <xdr:col>3</xdr:col>
      <xdr:colOff>123825</xdr:colOff>
      <xdr:row>18</xdr:row>
      <xdr:rowOff>152400</xdr:rowOff>
    </xdr:to>
    <xdr:cxnSp macro="">
      <xdr:nvCxnSpPr>
        <xdr:cNvPr id="78" name="Conector reto 77">
          <a:extLst>
            <a:ext uri="{FF2B5EF4-FFF2-40B4-BE49-F238E27FC236}">
              <a16:creationId xmlns:a16="http://schemas.microsoft.com/office/drawing/2014/main" id="{A8422AFC-A5B9-41A8-99B5-42947D476AD5}"/>
            </a:ext>
          </a:extLst>
        </xdr:cNvPr>
        <xdr:cNvCxnSpPr/>
      </xdr:nvCxnSpPr>
      <xdr:spPr>
        <a:xfrm>
          <a:off x="295275" y="3581400"/>
          <a:ext cx="1657350" cy="0"/>
        </a:xfrm>
        <a:prstGeom prst="line">
          <a:avLst/>
        </a:prstGeom>
        <a:effectLst>
          <a:glow rad="63500">
            <a:schemeClr val="accent1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66674</xdr:colOff>
      <xdr:row>41</xdr:row>
      <xdr:rowOff>85724</xdr:rowOff>
    </xdr:from>
    <xdr:to>
      <xdr:col>3</xdr:col>
      <xdr:colOff>342899</xdr:colOff>
      <xdr:row>42</xdr:row>
      <xdr:rowOff>104775</xdr:rowOff>
    </xdr:to>
    <xdr:sp macro="" textlink="">
      <xdr:nvSpPr>
        <xdr:cNvPr id="80" name="Retângulo: Cantos Arredondados 79">
          <a:extLst>
            <a:ext uri="{FF2B5EF4-FFF2-40B4-BE49-F238E27FC236}">
              <a16:creationId xmlns:a16="http://schemas.microsoft.com/office/drawing/2014/main" id="{32849B76-5E33-4AFD-9C6F-355DCA2CCCC6}"/>
            </a:ext>
          </a:extLst>
        </xdr:cNvPr>
        <xdr:cNvSpPr/>
      </xdr:nvSpPr>
      <xdr:spPr>
        <a:xfrm>
          <a:off x="1285874" y="7896224"/>
          <a:ext cx="885825" cy="209551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62176</xdr:colOff>
      <xdr:row>37</xdr:row>
      <xdr:rowOff>40217</xdr:rowOff>
    </xdr:from>
    <xdr:to>
      <xdr:col>7</xdr:col>
      <xdr:colOff>528903</xdr:colOff>
      <xdr:row>39</xdr:row>
      <xdr:rowOff>189706</xdr:rowOff>
    </xdr:to>
    <xdr:sp macro="" textlink="">
      <xdr:nvSpPr>
        <xdr:cNvPr id="2" name="Retângulo: Cantos Diagonais Arredondados 1">
          <a:extLst>
            <a:ext uri="{FF2B5EF4-FFF2-40B4-BE49-F238E27FC236}">
              <a16:creationId xmlns:a16="http://schemas.microsoft.com/office/drawing/2014/main" id="{48981F19-2EFE-4823-8FA8-220D0F0968AC}"/>
            </a:ext>
          </a:extLst>
        </xdr:cNvPr>
        <xdr:cNvSpPr/>
      </xdr:nvSpPr>
      <xdr:spPr>
        <a:xfrm>
          <a:off x="1890976" y="7088717"/>
          <a:ext cx="2905127" cy="530489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60000"/>
            <a:lumOff val="4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1">
                  <a:lumMod val="50000"/>
                </a:schemeClr>
              </a:solidFill>
            </a:rPr>
            <a:t>GERENCIAL</a:t>
          </a:r>
        </a:p>
      </xdr:txBody>
    </xdr:sp>
    <xdr:clientData/>
  </xdr:twoCellAnchor>
  <xdr:twoCellAnchor>
    <xdr:from>
      <xdr:col>7</xdr:col>
      <xdr:colOff>76200</xdr:colOff>
      <xdr:row>38</xdr:row>
      <xdr:rowOff>5424</xdr:rowOff>
    </xdr:from>
    <xdr:to>
      <xdr:col>7</xdr:col>
      <xdr:colOff>295275</xdr:colOff>
      <xdr:row>39</xdr:row>
      <xdr:rowOff>33999</xdr:rowOff>
    </xdr:to>
    <xdr:sp macro="" textlink="">
      <xdr:nvSpPr>
        <xdr:cNvPr id="81" name="Elipse 80">
          <a:extLst>
            <a:ext uri="{FF2B5EF4-FFF2-40B4-BE49-F238E27FC236}">
              <a16:creationId xmlns:a16="http://schemas.microsoft.com/office/drawing/2014/main" id="{51680966-A97B-4496-B2D9-9669F9CC4236}"/>
            </a:ext>
          </a:extLst>
        </xdr:cNvPr>
        <xdr:cNvSpPr/>
      </xdr:nvSpPr>
      <xdr:spPr>
        <a:xfrm>
          <a:off x="4343400" y="7244424"/>
          <a:ext cx="219075" cy="219075"/>
        </a:xfrm>
        <a:prstGeom prst="ellipse">
          <a:avLst/>
        </a:prstGeom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35982</xdr:colOff>
      <xdr:row>41</xdr:row>
      <xdr:rowOff>11377</xdr:rowOff>
    </xdr:from>
    <xdr:to>
      <xdr:col>6</xdr:col>
      <xdr:colOff>502708</xdr:colOff>
      <xdr:row>43</xdr:row>
      <xdr:rowOff>160866</xdr:rowOff>
    </xdr:to>
    <xdr:grpSp>
      <xdr:nvGrpSpPr>
        <xdr:cNvPr id="4" name="Agrupar 3">
          <a:hlinkClick xmlns:r="http://schemas.openxmlformats.org/officeDocument/2006/relationships" r:id="rId18" tooltip="OPERACIONAL"/>
          <a:extLst>
            <a:ext uri="{FF2B5EF4-FFF2-40B4-BE49-F238E27FC236}">
              <a16:creationId xmlns:a16="http://schemas.microsoft.com/office/drawing/2014/main" id="{ECC801EF-32B3-4ADF-9D5A-51F882D3AE18}"/>
            </a:ext>
          </a:extLst>
        </xdr:cNvPr>
        <xdr:cNvGrpSpPr/>
      </xdr:nvGrpSpPr>
      <xdr:grpSpPr>
        <a:xfrm>
          <a:off x="1251553" y="7449948"/>
          <a:ext cx="2897869" cy="512347"/>
          <a:chOff x="1263649" y="7821877"/>
          <a:chExt cx="2922059" cy="530489"/>
        </a:xfrm>
      </xdr:grpSpPr>
      <xdr:sp macro="" textlink="">
        <xdr:nvSpPr>
          <xdr:cNvPr id="11" name="Retângulo: Cantos Diagonais Arredondados 10">
            <a:extLst>
              <a:ext uri="{FF2B5EF4-FFF2-40B4-BE49-F238E27FC236}">
                <a16:creationId xmlns:a16="http://schemas.microsoft.com/office/drawing/2014/main" id="{B3560336-28D6-438F-AD89-9F0EB6FD0F78}"/>
              </a:ext>
            </a:extLst>
          </xdr:cNvPr>
          <xdr:cNvSpPr/>
        </xdr:nvSpPr>
        <xdr:spPr>
          <a:xfrm>
            <a:off x="1263649" y="7821877"/>
            <a:ext cx="2922059" cy="530489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1">
              <a:lumMod val="60000"/>
              <a:lumOff val="4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800" b="1">
                <a:solidFill>
                  <a:schemeClr val="accent1">
                    <a:lumMod val="50000"/>
                  </a:schemeClr>
                </a:solidFill>
                <a:latin typeface="+mn-lt"/>
                <a:ea typeface="+mn-ea"/>
                <a:cs typeface="+mn-cs"/>
              </a:rPr>
              <a:t>OPERACIONAL</a:t>
            </a:r>
          </a:p>
        </xdr:txBody>
      </xdr:sp>
      <xdr:sp macro="" textlink="">
        <xdr:nvSpPr>
          <xdr:cNvPr id="82" name="Elipse 81">
            <a:extLst>
              <a:ext uri="{FF2B5EF4-FFF2-40B4-BE49-F238E27FC236}">
                <a16:creationId xmlns:a16="http://schemas.microsoft.com/office/drawing/2014/main" id="{10055EDD-8A06-48CD-9C22-B36D3DE8F1C0}"/>
              </a:ext>
            </a:extLst>
          </xdr:cNvPr>
          <xdr:cNvSpPr/>
        </xdr:nvSpPr>
        <xdr:spPr>
          <a:xfrm>
            <a:off x="3709457" y="7977584"/>
            <a:ext cx="219075" cy="219075"/>
          </a:xfrm>
          <a:prstGeom prst="ellipse">
            <a:avLst/>
          </a:prstGeom>
          <a:noFill/>
          <a:ln>
            <a:solidFill>
              <a:schemeClr val="accent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 editAs="oneCell">
    <xdr:from>
      <xdr:col>9</xdr:col>
      <xdr:colOff>190500</xdr:colOff>
      <xdr:row>33</xdr:row>
      <xdr:rowOff>31750</xdr:rowOff>
    </xdr:from>
    <xdr:to>
      <xdr:col>10</xdr:col>
      <xdr:colOff>172487</xdr:colOff>
      <xdr:row>35</xdr:row>
      <xdr:rowOff>95250</xdr:rowOff>
    </xdr:to>
    <xdr:pic>
      <xdr:nvPicPr>
        <xdr:cNvPr id="84" name="Imagem 83" descr="Ícone de alto custo ilustração do vetor. Ilustração de alto - 159532336">
          <a:extLst>
            <a:ext uri="{FF2B5EF4-FFF2-40B4-BE49-F238E27FC236}">
              <a16:creationId xmlns:a16="http://schemas.microsoft.com/office/drawing/2014/main" id="{52AC2AC1-09A2-4B4F-AACE-E03597A12CD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>
                      <a14:foregroundMark x1="35750" y1="69875" x2="35750" y2="69875"/>
                      <a14:foregroundMark x1="47000" y1="68875" x2="47000" y2="68875"/>
                      <a14:foregroundMark x1="55875" y1="69000" x2="55875" y2="69000"/>
                      <a14:foregroundMark x1="67750" y1="68750" x2="67750" y2="687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455" t="23611" r="21358" b="23612"/>
        <a:stretch/>
      </xdr:blipFill>
      <xdr:spPr bwMode="auto">
        <a:xfrm>
          <a:off x="5715000" y="6318250"/>
          <a:ext cx="595820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0.24769</cdr:x>
      <cdr:y>0.16634</cdr:y>
    </cdr:from>
    <cdr:to>
      <cdr:x>0.74964</cdr:x>
      <cdr:y>0.83301</cdr:y>
    </cdr:to>
    <cdr:sp macro="" textlink="Analises!$M$6">
      <cdr:nvSpPr>
        <cdr:cNvPr id="2" name="Elipse 1">
          <a:extLst xmlns:a="http://schemas.openxmlformats.org/drawingml/2006/main">
            <a:ext uri="{FF2B5EF4-FFF2-40B4-BE49-F238E27FC236}">
              <a16:creationId xmlns:a16="http://schemas.microsoft.com/office/drawing/2014/main" id="{DE4C79FD-8C7D-43D1-80BF-3D82B2798A09}"/>
            </a:ext>
          </a:extLst>
        </cdr:cNvPr>
        <cdr:cNvSpPr/>
      </cdr:nvSpPr>
      <cdr:spPr>
        <a:xfrm xmlns:a="http://schemas.openxmlformats.org/drawingml/2006/main">
          <a:off x="819822" y="413129"/>
          <a:ext cx="1661439" cy="1655779"/>
        </a:xfrm>
        <a:prstGeom xmlns:a="http://schemas.openxmlformats.org/drawingml/2006/main" prst="ellipse">
          <a:avLst/>
        </a:prstGeom>
        <a:solidFill xmlns:a="http://schemas.openxmlformats.org/drawingml/2006/main">
          <a:schemeClr val="accent1">
            <a:lumMod val="60000"/>
            <a:lumOff val="4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fld id="{36246829-804F-49C7-8840-E9824E644C24}" type="TxLink">
            <a:rPr lang="en-US" sz="4000" b="1" i="0" u="none" strike="noStrike">
              <a:solidFill>
                <a:schemeClr val="accent1">
                  <a:lumMod val="50000"/>
                </a:schemeClr>
              </a:solidFill>
              <a:latin typeface="Calibri"/>
              <a:cs typeface="Calibri"/>
            </a:rPr>
            <a:pPr algn="ctr"/>
            <a:t>67%</a:t>
          </a:fld>
          <a:endParaRPr lang="pt-BR" sz="4000" b="1">
            <a:solidFill>
              <a:schemeClr val="accent1">
                <a:lumMod val="50000"/>
              </a:schemeClr>
            </a:solidFill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13579</xdr:colOff>
      <xdr:row>45</xdr:row>
      <xdr:rowOff>176893</xdr:rowOff>
    </xdr:to>
    <xdr:pic>
      <xdr:nvPicPr>
        <xdr:cNvPr id="2" name="Imagem 1" descr="Montanhas de Sal | Data:09-09-2010 Rio Grande do Norte - Lit… | Flickr">
          <a:extLst>
            <a:ext uri="{FF2B5EF4-FFF2-40B4-BE49-F238E27FC236}">
              <a16:creationId xmlns:a16="http://schemas.microsoft.com/office/drawing/2014/main" id="{2AC0B516-8679-463C-9D1C-56FCD2C989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081" b="2067"/>
        <a:stretch/>
      </xdr:blipFill>
      <xdr:spPr bwMode="auto">
        <a:xfrm>
          <a:off x="0" y="0"/>
          <a:ext cx="17814746" cy="8749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0</xdr:row>
      <xdr:rowOff>1</xdr:rowOff>
    </xdr:from>
    <xdr:ext cx="6582250" cy="762000"/>
    <xdr:sp macro="" textlink="">
      <xdr:nvSpPr>
        <xdr:cNvPr id="3" name="Retângulo 2">
          <a:hlinkClick xmlns:r="http://schemas.openxmlformats.org/officeDocument/2006/relationships" r:id="rId2" tooltip="HOME"/>
          <a:extLst>
            <a:ext uri="{FF2B5EF4-FFF2-40B4-BE49-F238E27FC236}">
              <a16:creationId xmlns:a16="http://schemas.microsoft.com/office/drawing/2014/main" id="{163BDD9B-B898-4FEB-92AB-9C2E768A494A}"/>
            </a:ext>
          </a:extLst>
        </xdr:cNvPr>
        <xdr:cNvSpPr/>
      </xdr:nvSpPr>
      <xdr:spPr>
        <a:xfrm>
          <a:off x="0" y="1"/>
          <a:ext cx="6582250" cy="762000"/>
        </a:xfrm>
        <a:prstGeom prst="rect">
          <a:avLst/>
        </a:prstGeom>
        <a:noFill/>
      </xdr:spPr>
      <xdr:txBody>
        <a:bodyPr wrap="none" lIns="91440" tIns="45720" rIns="91440" bIns="45720" anchor="t">
          <a:no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/>
          <a:r>
            <a:rPr lang="pt-BR" sz="4800" b="1" cap="none" spc="0">
              <a:ln/>
              <a:solidFill>
                <a:schemeClr val="accent1"/>
              </a:solidFill>
              <a:effectLst/>
            </a:rPr>
            <a:t>DASHBOARD</a:t>
          </a:r>
          <a:r>
            <a:rPr lang="pt-BR" sz="4800" b="1" cap="none" spc="0" baseline="0">
              <a:ln/>
              <a:solidFill>
                <a:schemeClr val="accent1"/>
              </a:solidFill>
              <a:effectLst/>
            </a:rPr>
            <a:t> DE VENDAS</a:t>
          </a:r>
          <a:endParaRPr lang="pt-BR" sz="4800" b="1" cap="none" spc="0">
            <a:ln/>
            <a:solidFill>
              <a:schemeClr val="accent1"/>
            </a:solidFill>
            <a:effectLst/>
          </a:endParaRPr>
        </a:p>
      </xdr:txBody>
    </xdr:sp>
    <xdr:clientData/>
  </xdr:oneCellAnchor>
  <xdr:twoCellAnchor>
    <xdr:from>
      <xdr:col>0</xdr:col>
      <xdr:colOff>0</xdr:colOff>
      <xdr:row>3</xdr:row>
      <xdr:rowOff>107156</xdr:rowOff>
    </xdr:from>
    <xdr:to>
      <xdr:col>28</xdr:col>
      <xdr:colOff>583407</xdr:colOff>
      <xdr:row>3</xdr:row>
      <xdr:rowOff>107156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FF1EF4D7-2D8B-4DC6-BCCC-6E7867CF24B3}"/>
            </a:ext>
          </a:extLst>
        </xdr:cNvPr>
        <xdr:cNvCxnSpPr/>
      </xdr:nvCxnSpPr>
      <xdr:spPr>
        <a:xfrm>
          <a:off x="0" y="678656"/>
          <a:ext cx="17652207" cy="0"/>
        </a:xfrm>
        <a:prstGeom prst="line">
          <a:avLst/>
        </a:prstGeom>
        <a:ln w="38100"/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178595</xdr:colOff>
      <xdr:row>13</xdr:row>
      <xdr:rowOff>178594</xdr:rowOff>
    </xdr:from>
    <xdr:to>
      <xdr:col>5</xdr:col>
      <xdr:colOff>381000</xdr:colOff>
      <xdr:row>30</xdr:row>
      <xdr:rowOff>180975</xdr:rowOff>
    </xdr:to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6EA24390-89BF-4E5D-AFF5-87EA07E1AD5E}"/>
            </a:ext>
          </a:extLst>
        </xdr:cNvPr>
        <xdr:cNvSpPr/>
      </xdr:nvSpPr>
      <xdr:spPr>
        <a:xfrm>
          <a:off x="178595" y="2655094"/>
          <a:ext cx="3250405" cy="3240881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0</xdr:col>
      <xdr:colOff>202406</xdr:colOff>
      <xdr:row>4</xdr:row>
      <xdr:rowOff>47626</xdr:rowOff>
    </xdr:from>
    <xdr:to>
      <xdr:col>1</xdr:col>
      <xdr:colOff>586669</xdr:colOff>
      <xdr:row>12</xdr:row>
      <xdr:rowOff>35719</xdr:rowOff>
    </xdr:to>
    <xdr:pic>
      <xdr:nvPicPr>
        <xdr:cNvPr id="7" name="Imagem 6" descr="Saco de dinheiro, fundo transparente Saco de dinheiro miniatura de clipart PNG">
          <a:extLst>
            <a:ext uri="{FF2B5EF4-FFF2-40B4-BE49-F238E27FC236}">
              <a16:creationId xmlns:a16="http://schemas.microsoft.com/office/drawing/2014/main" id="{70707605-7EC7-4A4A-A630-28B091C8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100000" l="0" r="100000">
                      <a14:foregroundMark x1="20000" y1="19518" x2="47333" y2="18640"/>
                      <a14:backgroundMark x1="3667" y1="67763" x2="2000" y2="80263"/>
                      <a14:backgroundMark x1="96667" y1="68860" x2="98667" y2="8311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406" y="809626"/>
          <a:ext cx="993863" cy="1512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547688</xdr:colOff>
      <xdr:row>4</xdr:row>
      <xdr:rowOff>47624</xdr:rowOff>
    </xdr:from>
    <xdr:to>
      <xdr:col>17</xdr:col>
      <xdr:colOff>297656</xdr:colOff>
      <xdr:row>12</xdr:row>
      <xdr:rowOff>101411</xdr:rowOff>
    </xdr:to>
    <xdr:pic>
      <xdr:nvPicPr>
        <xdr:cNvPr id="8" name="Imagem 7" descr="Rank Icon #321967 - Free Icons Library">
          <a:extLst>
            <a:ext uri="{FF2B5EF4-FFF2-40B4-BE49-F238E27FC236}">
              <a16:creationId xmlns:a16="http://schemas.microsoft.com/office/drawing/2014/main" id="{D27ABFB4-FAD6-43C9-A28D-2705AC81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2088" y="809624"/>
          <a:ext cx="1578768" cy="1577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95251</xdr:colOff>
      <xdr:row>4</xdr:row>
      <xdr:rowOff>7905</xdr:rowOff>
    </xdr:from>
    <xdr:to>
      <xdr:col>7</xdr:col>
      <xdr:colOff>262137</xdr:colOff>
      <xdr:row>12</xdr:row>
      <xdr:rowOff>118305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29254429-C82A-41BC-8FB4-F742FAFEA641}"/>
            </a:ext>
          </a:extLst>
        </xdr:cNvPr>
        <xdr:cNvGrpSpPr/>
      </xdr:nvGrpSpPr>
      <xdr:grpSpPr>
        <a:xfrm>
          <a:off x="95251" y="744505"/>
          <a:ext cx="4434086" cy="1583600"/>
          <a:chOff x="166687" y="773904"/>
          <a:chExt cx="3605952" cy="1634400"/>
        </a:xfrm>
      </xdr:grpSpPr>
      <xdr:sp macro="" textlink="Analises!AM14">
        <xdr:nvSpPr>
          <xdr:cNvPr id="10" name="Retângulo: Cantos Diagonais Arredondados 9">
            <a:extLst>
              <a:ext uri="{FF2B5EF4-FFF2-40B4-BE49-F238E27FC236}">
                <a16:creationId xmlns:a16="http://schemas.microsoft.com/office/drawing/2014/main" id="{BDEC33CC-1F34-4C27-8021-A30E3A2D5FD9}"/>
              </a:ext>
            </a:extLst>
          </xdr:cNvPr>
          <xdr:cNvSpPr/>
        </xdr:nvSpPr>
        <xdr:spPr>
          <a:xfrm>
            <a:off x="172639" y="773904"/>
            <a:ext cx="3492000" cy="1634400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4D053476-3185-41D3-A435-1281D9C916E6}" type="TxLink">
              <a:rPr lang="en-US" sz="2800" b="1" i="0" u="none" strike="noStrike">
                <a:solidFill>
                  <a:schemeClr val="bg1"/>
                </a:solidFill>
                <a:latin typeface="Calibri"/>
                <a:cs typeface="Calibri"/>
              </a:rPr>
              <a:pPr algn="ctr"/>
              <a:t> R$1.952.655,42 </a:t>
            </a:fld>
            <a:endParaRPr lang="en-US" sz="2800" b="1" i="0" u="none" strike="noStrike">
              <a:solidFill>
                <a:schemeClr val="bg1"/>
              </a:solidFill>
              <a:latin typeface="Calibri"/>
              <a:cs typeface="Calibri"/>
            </a:endParaRPr>
          </a:p>
        </xdr:txBody>
      </xdr:sp>
      <xdr:sp macro="" textlink="">
        <xdr:nvSpPr>
          <xdr:cNvPr id="11" name="Retângulo: Cantos Diagonais Arredondados 10">
            <a:extLst>
              <a:ext uri="{FF2B5EF4-FFF2-40B4-BE49-F238E27FC236}">
                <a16:creationId xmlns:a16="http://schemas.microsoft.com/office/drawing/2014/main" id="{4D81D722-161F-4DD7-A5D8-A32EFFDE4D98}"/>
              </a:ext>
            </a:extLst>
          </xdr:cNvPr>
          <xdr:cNvSpPr/>
        </xdr:nvSpPr>
        <xdr:spPr>
          <a:xfrm>
            <a:off x="172639" y="781051"/>
            <a:ext cx="3600000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/>
              <a:t>MÉDIA FATURAMENTO/MÊS</a:t>
            </a:r>
          </a:p>
        </xdr:txBody>
      </xdr:sp>
      <xdr:sp macro="" textlink="Analises!AL16">
        <xdr:nvSpPr>
          <xdr:cNvPr id="12" name="Retângulo: Cantos Diagonais Arredondados 11">
            <a:extLst>
              <a:ext uri="{FF2B5EF4-FFF2-40B4-BE49-F238E27FC236}">
                <a16:creationId xmlns:a16="http://schemas.microsoft.com/office/drawing/2014/main" id="{2E1F5553-44A9-4688-9FD6-B39549692BC1}"/>
              </a:ext>
            </a:extLst>
          </xdr:cNvPr>
          <xdr:cNvSpPr/>
        </xdr:nvSpPr>
        <xdr:spPr>
          <a:xfrm>
            <a:off x="166687" y="1931198"/>
            <a:ext cx="2595564" cy="450054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3DB4F693-38A8-498C-B4F6-EC01B2C44B25}" type="TxLink">
              <a:rPr lang="en-US" sz="18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Acima da Meta</a:t>
            </a:fld>
            <a:endParaRPr lang="en-US" sz="2800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  <xdr:sp macro="" textlink="Analises!AM16">
        <xdr:nvSpPr>
          <xdr:cNvPr id="13" name="Retângulo: Cantos Diagonais Arredondados 12">
            <a:extLst>
              <a:ext uri="{FF2B5EF4-FFF2-40B4-BE49-F238E27FC236}">
                <a16:creationId xmlns:a16="http://schemas.microsoft.com/office/drawing/2014/main" id="{653267A3-8166-499B-A9F7-2BCC23AF5392}"/>
              </a:ext>
            </a:extLst>
          </xdr:cNvPr>
          <xdr:cNvSpPr/>
        </xdr:nvSpPr>
        <xdr:spPr>
          <a:xfrm>
            <a:off x="2762250" y="1931198"/>
            <a:ext cx="1008000" cy="450054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BB1CB9B4-F281-44BB-9D98-38957AE17FE9}" type="TxLink">
              <a:rPr lang="en-US" sz="3200" b="0" i="0" u="none" strike="noStrike">
                <a:solidFill>
                  <a:schemeClr val="bg1"/>
                </a:solidFill>
                <a:effectLst>
                  <a:outerShdw blurRad="50800" dist="38100" algn="l" rotWithShape="0">
                    <a:prstClr val="black">
                      <a:alpha val="40000"/>
                    </a:prstClr>
                  </a:outerShdw>
                </a:effectLst>
                <a:latin typeface="Wingdings 3"/>
                <a:cs typeface="Calibri"/>
              </a:rPr>
              <a:pPr algn="ctr"/>
              <a:t>p</a:t>
            </a:fld>
            <a:endParaRPr lang="en-US" sz="23900" b="0" i="0" u="none" strike="noStrike">
              <a:solidFill>
                <a:schemeClr val="bg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  <a:latin typeface="Calibri"/>
              <a:cs typeface="Calibri"/>
            </a:endParaRPr>
          </a:p>
        </xdr:txBody>
      </xdr:sp>
    </xdr:grpSp>
    <xdr:clientData/>
  </xdr:twoCellAnchor>
  <xdr:twoCellAnchor editAs="oneCell">
    <xdr:from>
      <xdr:col>7</xdr:col>
      <xdr:colOff>76199</xdr:colOff>
      <xdr:row>4</xdr:row>
      <xdr:rowOff>11905</xdr:rowOff>
    </xdr:from>
    <xdr:to>
      <xdr:col>9</xdr:col>
      <xdr:colOff>445294</xdr:colOff>
      <xdr:row>12</xdr:row>
      <xdr:rowOff>77646</xdr:rowOff>
    </xdr:to>
    <xdr:pic>
      <xdr:nvPicPr>
        <xdr:cNvPr id="14" name="Imagem 13" descr="First Place Ribbon Png – Free PNG Images Vector, PSD, Clipart, Templates">
          <a:extLst>
            <a:ext uri="{FF2B5EF4-FFF2-40B4-BE49-F238E27FC236}">
              <a16:creationId xmlns:a16="http://schemas.microsoft.com/office/drawing/2014/main" id="{B0A5B69A-07C8-4703-B6EC-CA772EB94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399" y="773905"/>
          <a:ext cx="1588295" cy="1589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302210</xdr:colOff>
      <xdr:row>4</xdr:row>
      <xdr:rowOff>7147</xdr:rowOff>
    </xdr:from>
    <xdr:to>
      <xdr:col>14</xdr:col>
      <xdr:colOff>474885</xdr:colOff>
      <xdr:row>12</xdr:row>
      <xdr:rowOff>119064</xdr:rowOff>
    </xdr:to>
    <xdr:grpSp>
      <xdr:nvGrpSpPr>
        <xdr:cNvPr id="15" name="Agrupar 14">
          <a:extLst>
            <a:ext uri="{FF2B5EF4-FFF2-40B4-BE49-F238E27FC236}">
              <a16:creationId xmlns:a16="http://schemas.microsoft.com/office/drawing/2014/main" id="{1D097AED-E487-4660-9A31-BBE20FAAB594}"/>
            </a:ext>
          </a:extLst>
        </xdr:cNvPr>
        <xdr:cNvGrpSpPr/>
      </xdr:nvGrpSpPr>
      <xdr:grpSpPr>
        <a:xfrm>
          <a:off x="4569410" y="743747"/>
          <a:ext cx="4439875" cy="1585117"/>
          <a:chOff x="4543216" y="769147"/>
          <a:chExt cx="4423251" cy="1635917"/>
        </a:xfrm>
      </xdr:grpSpPr>
      <xdr:sp macro="" textlink="Analises!AV21">
        <xdr:nvSpPr>
          <xdr:cNvPr id="16" name="Retângulo: Cantos Diagonais Arredondados 15">
            <a:extLst>
              <a:ext uri="{FF2B5EF4-FFF2-40B4-BE49-F238E27FC236}">
                <a16:creationId xmlns:a16="http://schemas.microsoft.com/office/drawing/2014/main" id="{EEFF02F1-0D6F-4FCA-8114-6AF9E945FFFD}"/>
              </a:ext>
            </a:extLst>
          </xdr:cNvPr>
          <xdr:cNvSpPr/>
        </xdr:nvSpPr>
        <xdr:spPr>
          <a:xfrm>
            <a:off x="4543216" y="769147"/>
            <a:ext cx="4277822" cy="1635917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073458F2-30EB-4950-ABF9-5D1184308773}" type="TxLink">
              <a:rPr lang="en-US" sz="2800" b="1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Mato Grosso do Sul</a:t>
            </a:fld>
            <a:endParaRPr lang="en-US" sz="7200" b="1" i="0" u="none" strike="noStrike">
              <a:solidFill>
                <a:schemeClr val="bg1"/>
              </a:solidFill>
              <a:latin typeface="Calibri"/>
              <a:ea typeface="+mn-ea"/>
              <a:cs typeface="Calibri"/>
            </a:endParaRPr>
          </a:p>
        </xdr:txBody>
      </xdr:sp>
      <xdr:sp macro="" textlink="">
        <xdr:nvSpPr>
          <xdr:cNvPr id="17" name="Retângulo: Cantos Diagonais Arredondados 16">
            <a:extLst>
              <a:ext uri="{FF2B5EF4-FFF2-40B4-BE49-F238E27FC236}">
                <a16:creationId xmlns:a16="http://schemas.microsoft.com/office/drawing/2014/main" id="{17FD154A-2660-4740-BCE7-3A374C11FC82}"/>
              </a:ext>
            </a:extLst>
          </xdr:cNvPr>
          <xdr:cNvSpPr/>
        </xdr:nvSpPr>
        <xdr:spPr>
          <a:xfrm>
            <a:off x="4556342" y="792958"/>
            <a:ext cx="4410125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/>
              <a:t>ESTADO COM MAIS VENDAS</a:t>
            </a:r>
          </a:p>
        </xdr:txBody>
      </xdr:sp>
      <xdr:sp macro="" textlink="Analises!AV24">
        <xdr:nvSpPr>
          <xdr:cNvPr id="18" name="Retângulo: Cantos Diagonais Arredondados 17">
            <a:extLst>
              <a:ext uri="{FF2B5EF4-FFF2-40B4-BE49-F238E27FC236}">
                <a16:creationId xmlns:a16="http://schemas.microsoft.com/office/drawing/2014/main" id="{7BF5EB2E-EE61-4AFE-9983-2CC2720B2CA9}"/>
              </a:ext>
            </a:extLst>
          </xdr:cNvPr>
          <xdr:cNvSpPr/>
        </xdr:nvSpPr>
        <xdr:spPr>
          <a:xfrm>
            <a:off x="4563634" y="2105025"/>
            <a:ext cx="4242873" cy="288133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9DF56E58-1FB4-470C-8500-C9B31DFBE3F5}" type="TxLink">
              <a:rPr lang="en-US" sz="14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Equivalente a 29% do faturamento</a:t>
            </a:fld>
            <a:endParaRPr lang="en-US" sz="2000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  <xdr:sp macro="" textlink="Analises!AW20">
        <xdr:nvSpPr>
          <xdr:cNvPr id="19" name="Retângulo: Cantos Diagonais Arredondados 18">
            <a:extLst>
              <a:ext uri="{FF2B5EF4-FFF2-40B4-BE49-F238E27FC236}">
                <a16:creationId xmlns:a16="http://schemas.microsoft.com/office/drawing/2014/main" id="{08408D7A-EB0F-4D3B-B1F4-691BC1C7DA20}"/>
              </a:ext>
            </a:extLst>
          </xdr:cNvPr>
          <xdr:cNvSpPr/>
        </xdr:nvSpPr>
        <xdr:spPr>
          <a:xfrm>
            <a:off x="4745072" y="1781174"/>
            <a:ext cx="3938074" cy="373859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97AAB4FB-00C2-4CDF-9C9D-4664EF5A1CF7}" type="TxLink">
              <a:rPr lang="en-US" sz="2000" b="1" i="0" u="none" strike="noStrike">
                <a:solidFill>
                  <a:schemeClr val="bg1"/>
                </a:solidFill>
                <a:effectLst>
                  <a:outerShdw blurRad="50800" dist="38100" algn="l" rotWithShape="0">
                    <a:prstClr val="black">
                      <a:alpha val="40000"/>
                    </a:prstClr>
                  </a:outerShdw>
                </a:effectLst>
                <a:latin typeface="Calibri"/>
                <a:ea typeface="+mn-ea"/>
                <a:cs typeface="Calibri"/>
              </a:rPr>
              <a:pPr marL="0" indent="0" algn="ctr"/>
              <a:t> R$12.231.665,00 </a:t>
            </a:fld>
            <a:endParaRPr lang="en-US" sz="5400" b="1" i="0" u="none" strike="noStrike">
              <a:solidFill>
                <a:schemeClr val="bg1"/>
              </a:solidFill>
              <a:effectLst>
                <a:outerShdw blurRad="50800" dist="38100" algn="l" rotWithShape="0">
                  <a:prstClr val="black">
                    <a:alpha val="40000"/>
                  </a:prstClr>
                </a:outerShdw>
              </a:effectLst>
              <a:latin typeface="Wingdings 3"/>
              <a:ea typeface="+mn-ea"/>
              <a:cs typeface="Calibri"/>
            </a:endParaRPr>
          </a:p>
        </xdr:txBody>
      </xdr:sp>
    </xdr:grpSp>
    <xdr:clientData/>
  </xdr:twoCellAnchor>
  <xdr:twoCellAnchor>
    <xdr:from>
      <xdr:col>14</xdr:col>
      <xdr:colOff>507613</xdr:colOff>
      <xdr:row>4</xdr:row>
      <xdr:rowOff>7147</xdr:rowOff>
    </xdr:from>
    <xdr:to>
      <xdr:col>21</xdr:col>
      <xdr:colOff>405218</xdr:colOff>
      <xdr:row>12</xdr:row>
      <xdr:rowOff>119064</xdr:rowOff>
    </xdr:to>
    <xdr:grpSp>
      <xdr:nvGrpSpPr>
        <xdr:cNvPr id="20" name="Agrupar 19">
          <a:extLst>
            <a:ext uri="{FF2B5EF4-FFF2-40B4-BE49-F238E27FC236}">
              <a16:creationId xmlns:a16="http://schemas.microsoft.com/office/drawing/2014/main" id="{5487834D-C3AB-4AB8-8AE5-067E8947699D}"/>
            </a:ext>
          </a:extLst>
        </xdr:cNvPr>
        <xdr:cNvGrpSpPr/>
      </xdr:nvGrpSpPr>
      <xdr:grpSpPr>
        <a:xfrm>
          <a:off x="9042013" y="743747"/>
          <a:ext cx="4164805" cy="1585117"/>
          <a:chOff x="9008676" y="769147"/>
          <a:chExt cx="4148136" cy="1635917"/>
        </a:xfrm>
      </xdr:grpSpPr>
      <xdr:sp macro="" textlink="Analises!AD22">
        <xdr:nvSpPr>
          <xdr:cNvPr id="21" name="Retângulo: Cantos Diagonais Arredondados 20">
            <a:extLst>
              <a:ext uri="{FF2B5EF4-FFF2-40B4-BE49-F238E27FC236}">
                <a16:creationId xmlns:a16="http://schemas.microsoft.com/office/drawing/2014/main" id="{4CBBFDE5-46BB-47C8-A28E-C5344CC9510B}"/>
              </a:ext>
            </a:extLst>
          </xdr:cNvPr>
          <xdr:cNvSpPr/>
        </xdr:nvSpPr>
        <xdr:spPr>
          <a:xfrm>
            <a:off x="9008676" y="769147"/>
            <a:ext cx="4148136" cy="1635917"/>
          </a:xfrm>
          <a:prstGeom prst="round2DiagRect">
            <a:avLst>
              <a:gd name="adj1" fmla="val 0"/>
              <a:gd name="adj2" fmla="val 0"/>
            </a:avLst>
          </a:prstGeom>
          <a:solidFill>
            <a:schemeClr val="accent1">
              <a:lumMod val="5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fld id="{83D798C5-F104-48A1-8043-7CB85F654D43}" type="TxLink">
              <a:rPr lang="en-US" sz="3600" b="1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CLIENTE 04</a:t>
            </a:fld>
            <a:endParaRPr lang="en-US" sz="8800" b="1" i="0" u="none" strike="noStrike">
              <a:solidFill>
                <a:schemeClr val="bg1"/>
              </a:solidFill>
              <a:latin typeface="Calibri"/>
              <a:ea typeface="+mn-ea"/>
              <a:cs typeface="Calibri"/>
            </a:endParaRPr>
          </a:p>
        </xdr:txBody>
      </xdr:sp>
      <xdr:sp macro="" textlink="">
        <xdr:nvSpPr>
          <xdr:cNvPr id="22" name="Retângulo: Cantos Diagonais Arredondados 21">
            <a:extLst>
              <a:ext uri="{FF2B5EF4-FFF2-40B4-BE49-F238E27FC236}">
                <a16:creationId xmlns:a16="http://schemas.microsoft.com/office/drawing/2014/main" id="{8246A72F-C7AA-40C2-A72D-6290F770885B}"/>
              </a:ext>
            </a:extLst>
          </xdr:cNvPr>
          <xdr:cNvSpPr/>
        </xdr:nvSpPr>
        <xdr:spPr>
          <a:xfrm>
            <a:off x="9131195" y="792958"/>
            <a:ext cx="4000518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pt-BR" sz="2400" b="1"/>
              <a:t>MELHOR CLIENTE</a:t>
            </a:r>
          </a:p>
        </xdr:txBody>
      </xdr:sp>
      <xdr:sp macro="" textlink="Analises!AE22">
        <xdr:nvSpPr>
          <xdr:cNvPr id="23" name="Retângulo: Cantos Diagonais Arredondados 22">
            <a:extLst>
              <a:ext uri="{FF2B5EF4-FFF2-40B4-BE49-F238E27FC236}">
                <a16:creationId xmlns:a16="http://schemas.microsoft.com/office/drawing/2014/main" id="{266230B8-5AA6-436E-AAFF-5B01C95C51FC}"/>
              </a:ext>
            </a:extLst>
          </xdr:cNvPr>
          <xdr:cNvSpPr/>
        </xdr:nvSpPr>
        <xdr:spPr>
          <a:xfrm>
            <a:off x="9131195" y="1943105"/>
            <a:ext cx="4000518" cy="360000"/>
          </a:xfrm>
          <a:prstGeom prst="round2DiagRect">
            <a:avLst>
              <a:gd name="adj1" fmla="val 0"/>
              <a:gd name="adj2" fmla="val 0"/>
            </a:avLst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Overflow="clip" horzOverflow="clip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indent="0" algn="ctr"/>
            <a:fld id="{3AC62DAE-4FF8-49F8-9691-0240C6EE47CA}" type="TxLink">
              <a:rPr lang="en-US" sz="2000" b="0" i="0" u="none" strike="noStrike">
                <a:solidFill>
                  <a:schemeClr val="bg1"/>
                </a:solidFill>
                <a:latin typeface="Calibri"/>
                <a:ea typeface="+mn-ea"/>
                <a:cs typeface="Calibri"/>
              </a:rPr>
              <a:pPr marL="0" indent="0" algn="ctr"/>
              <a:t> R$7.802.890,00 </a:t>
            </a:fld>
            <a:endParaRPr lang="en-US" sz="3200" b="0" i="0" u="none" strike="noStrike">
              <a:solidFill>
                <a:schemeClr val="bg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twoCellAnchor editAs="oneCell">
    <xdr:from>
      <xdr:col>12</xdr:col>
      <xdr:colOff>593988</xdr:colOff>
      <xdr:row>0</xdr:row>
      <xdr:rowOff>60856</xdr:rowOff>
    </xdr:from>
    <xdr:to>
      <xdr:col>28</xdr:col>
      <xdr:colOff>527843</xdr:colOff>
      <xdr:row>2</xdr:row>
      <xdr:rowOff>168011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8" name="MÊS 1">
              <a:extLst>
                <a:ext uri="{FF2B5EF4-FFF2-40B4-BE49-F238E27FC236}">
                  <a16:creationId xmlns:a16="http://schemas.microsoft.com/office/drawing/2014/main" id="{BCD55866-7E61-4254-913B-23ED379BD30D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Ê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909188" y="60856"/>
              <a:ext cx="9687455" cy="48815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>
    <xdr:from>
      <xdr:col>0</xdr:col>
      <xdr:colOff>176214</xdr:colOff>
      <xdr:row>13</xdr:row>
      <xdr:rowOff>188120</xdr:rowOff>
    </xdr:from>
    <xdr:to>
      <xdr:col>5</xdr:col>
      <xdr:colOff>379178</xdr:colOff>
      <xdr:row>17</xdr:row>
      <xdr:rowOff>23027</xdr:rowOff>
    </xdr:to>
    <xdr:sp macro="" textlink="">
      <xdr:nvSpPr>
        <xdr:cNvPr id="30" name="Retângulo: Cantos Diagonais Arredondados 29">
          <a:extLst>
            <a:ext uri="{FF2B5EF4-FFF2-40B4-BE49-F238E27FC236}">
              <a16:creationId xmlns:a16="http://schemas.microsoft.com/office/drawing/2014/main" id="{9DBB5627-1350-42FB-A0EA-7E40EF38F067}"/>
            </a:ext>
          </a:extLst>
        </xdr:cNvPr>
        <xdr:cNvSpPr/>
      </xdr:nvSpPr>
      <xdr:spPr>
        <a:xfrm>
          <a:off x="176214" y="2664620"/>
          <a:ext cx="3250964" cy="596907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2000" b="1"/>
            <a:t>RANKING / CLIENTES</a:t>
          </a:r>
        </a:p>
      </xdr:txBody>
    </xdr:sp>
    <xdr:clientData/>
  </xdr:twoCellAnchor>
  <xdr:oneCellAnchor>
    <xdr:from>
      <xdr:col>0</xdr:col>
      <xdr:colOff>264584</xdr:colOff>
      <xdr:row>31</xdr:row>
      <xdr:rowOff>8467</xdr:rowOff>
    </xdr:from>
    <xdr:ext cx="1740900" cy="2358231"/>
    <xdr:pic>
      <xdr:nvPicPr>
        <xdr:cNvPr id="32" name="Imagem 31">
          <a:extLst>
            <a:ext uri="{FF2B5EF4-FFF2-40B4-BE49-F238E27FC236}">
              <a16:creationId xmlns:a16="http://schemas.microsoft.com/office/drawing/2014/main" id="{A0E478DE-4679-409C-BAA0-C87AA80F19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62" r="19623" b="6439"/>
        <a:stretch/>
      </xdr:blipFill>
      <xdr:spPr>
        <a:xfrm>
          <a:off x="264584" y="5913967"/>
          <a:ext cx="1740900" cy="2358231"/>
        </a:xfrm>
        <a:prstGeom prst="rect">
          <a:avLst/>
        </a:prstGeom>
      </xdr:spPr>
    </xdr:pic>
    <xdr:clientData/>
  </xdr:oneCellAnchor>
  <xdr:oneCellAnchor>
    <xdr:from>
      <xdr:col>1</xdr:col>
      <xdr:colOff>252677</xdr:colOff>
      <xdr:row>34</xdr:row>
      <xdr:rowOff>5312</xdr:rowOff>
    </xdr:from>
    <xdr:ext cx="1708460" cy="2303178"/>
    <xdr:pic>
      <xdr:nvPicPr>
        <xdr:cNvPr id="33" name="Imagem 32">
          <a:extLst>
            <a:ext uri="{FF2B5EF4-FFF2-40B4-BE49-F238E27FC236}">
              <a16:creationId xmlns:a16="http://schemas.microsoft.com/office/drawing/2014/main" id="{2111CDC0-F668-4B9C-96E7-0B472ABB42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13" t="2574" r="19956" b="6048"/>
        <a:stretch/>
      </xdr:blipFill>
      <xdr:spPr>
        <a:xfrm>
          <a:off x="862277" y="6482312"/>
          <a:ext cx="1708460" cy="2303178"/>
        </a:xfrm>
        <a:prstGeom prst="rect">
          <a:avLst/>
        </a:prstGeom>
      </xdr:spPr>
    </xdr:pic>
    <xdr:clientData/>
  </xdr:oneCellAnchor>
  <xdr:twoCellAnchor>
    <xdr:from>
      <xdr:col>13</xdr:col>
      <xdr:colOff>514350</xdr:colOff>
      <xdr:row>13</xdr:row>
      <xdr:rowOff>178594</xdr:rowOff>
    </xdr:from>
    <xdr:to>
      <xdr:col>28</xdr:col>
      <xdr:colOff>188118</xdr:colOff>
      <xdr:row>31</xdr:row>
      <xdr:rowOff>142875</xdr:rowOff>
    </xdr:to>
    <xdr:sp macro="" textlink="">
      <xdr:nvSpPr>
        <xdr:cNvPr id="34" name="Retângulo 33">
          <a:extLst>
            <a:ext uri="{FF2B5EF4-FFF2-40B4-BE49-F238E27FC236}">
              <a16:creationId xmlns:a16="http://schemas.microsoft.com/office/drawing/2014/main" id="{2E66B239-0C8C-4FA4-BE73-A3A0575E7659}"/>
            </a:ext>
          </a:extLst>
        </xdr:cNvPr>
        <xdr:cNvSpPr/>
      </xdr:nvSpPr>
      <xdr:spPr>
        <a:xfrm>
          <a:off x="8439150" y="2655094"/>
          <a:ext cx="8817768" cy="3393281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13</xdr:col>
      <xdr:colOff>536181</xdr:colOff>
      <xdr:row>13</xdr:row>
      <xdr:rowOff>188120</xdr:rowOff>
    </xdr:from>
    <xdr:to>
      <xdr:col>28</xdr:col>
      <xdr:colOff>188118</xdr:colOff>
      <xdr:row>17</xdr:row>
      <xdr:rowOff>28575</xdr:rowOff>
    </xdr:to>
    <xdr:sp macro="" textlink="">
      <xdr:nvSpPr>
        <xdr:cNvPr id="35" name="Retângulo: Cantos Diagonais Arredondados 34">
          <a:extLst>
            <a:ext uri="{FF2B5EF4-FFF2-40B4-BE49-F238E27FC236}">
              <a16:creationId xmlns:a16="http://schemas.microsoft.com/office/drawing/2014/main" id="{365AC410-7738-4A1E-AC0D-9DC575979838}"/>
            </a:ext>
          </a:extLst>
        </xdr:cNvPr>
        <xdr:cNvSpPr/>
      </xdr:nvSpPr>
      <xdr:spPr>
        <a:xfrm>
          <a:off x="8460981" y="2664620"/>
          <a:ext cx="8795937" cy="602455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pt-BR" sz="2000" b="1">
              <a:solidFill>
                <a:schemeClr val="lt1"/>
              </a:solidFill>
              <a:latin typeface="+mn-lt"/>
              <a:ea typeface="+mn-ea"/>
              <a:cs typeface="+mn-cs"/>
            </a:rPr>
            <a:t>COMPARATIVO</a:t>
          </a:r>
          <a:r>
            <a:rPr lang="pt-BR" sz="2000" b="1" baseline="0">
              <a:solidFill>
                <a:schemeClr val="lt1"/>
              </a:solidFill>
              <a:latin typeface="+mn-lt"/>
              <a:ea typeface="+mn-ea"/>
              <a:cs typeface="+mn-cs"/>
            </a:rPr>
            <a:t> TONELADAS X VALORES</a:t>
          </a:r>
          <a:endParaRPr lang="pt-BR" sz="2000" b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14</xdr:col>
      <xdr:colOff>292894</xdr:colOff>
      <xdr:row>15</xdr:row>
      <xdr:rowOff>18767</xdr:rowOff>
    </xdr:from>
    <xdr:to>
      <xdr:col>14</xdr:col>
      <xdr:colOff>447675</xdr:colOff>
      <xdr:row>16</xdr:row>
      <xdr:rowOff>107155</xdr:rowOff>
    </xdr:to>
    <xdr:pic>
      <xdr:nvPicPr>
        <xdr:cNvPr id="37" name="Imagem 36" descr="Custo, Gerenciamento De Projeto, Serviço png transparente grátis">
          <a:extLst>
            <a:ext uri="{FF2B5EF4-FFF2-40B4-BE49-F238E27FC236}">
              <a16:creationId xmlns:a16="http://schemas.microsoft.com/office/drawing/2014/main" id="{1C4BB71C-293D-4341-BA27-550430FEB5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5455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185" t="7198" r="35025" b="15151"/>
        <a:stretch/>
      </xdr:blipFill>
      <xdr:spPr bwMode="auto">
        <a:xfrm>
          <a:off x="8827294" y="2876267"/>
          <a:ext cx="154781" cy="278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603250</xdr:colOff>
      <xdr:row>32</xdr:row>
      <xdr:rowOff>136262</xdr:rowOff>
    </xdr:from>
    <xdr:to>
      <xdr:col>28</xdr:col>
      <xdr:colOff>423333</xdr:colOff>
      <xdr:row>45</xdr:row>
      <xdr:rowOff>105834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0589CCEF-44C1-4EF2-8B0D-C566EE5AC541}"/>
            </a:ext>
          </a:extLst>
        </xdr:cNvPr>
        <xdr:cNvSpPr/>
      </xdr:nvSpPr>
      <xdr:spPr>
        <a:xfrm>
          <a:off x="5480050" y="6232262"/>
          <a:ext cx="12012083" cy="2446072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9</xdr:col>
      <xdr:colOff>18585</xdr:colOff>
      <xdr:row>32</xdr:row>
      <xdr:rowOff>145787</xdr:rowOff>
    </xdr:from>
    <xdr:to>
      <xdr:col>28</xdr:col>
      <xdr:colOff>422756</xdr:colOff>
      <xdr:row>35</xdr:row>
      <xdr:rowOff>176742</xdr:rowOff>
    </xdr:to>
    <xdr:sp macro="" textlink="">
      <xdr:nvSpPr>
        <xdr:cNvPr id="39" name="Retângulo: Cantos Diagonais Arredondados 38">
          <a:extLst>
            <a:ext uri="{FF2B5EF4-FFF2-40B4-BE49-F238E27FC236}">
              <a16:creationId xmlns:a16="http://schemas.microsoft.com/office/drawing/2014/main" id="{AF96DC54-3204-484B-8592-EB008DED77CB}"/>
            </a:ext>
          </a:extLst>
        </xdr:cNvPr>
        <xdr:cNvSpPr/>
      </xdr:nvSpPr>
      <xdr:spPr>
        <a:xfrm>
          <a:off x="5504985" y="6241787"/>
          <a:ext cx="11986571" cy="602455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endParaRPr lang="pt-BR" sz="2000" b="1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66674</xdr:colOff>
      <xdr:row>41</xdr:row>
      <xdr:rowOff>85724</xdr:rowOff>
    </xdr:from>
    <xdr:to>
      <xdr:col>3</xdr:col>
      <xdr:colOff>342899</xdr:colOff>
      <xdr:row>42</xdr:row>
      <xdr:rowOff>104775</xdr:rowOff>
    </xdr:to>
    <xdr:sp macro="" textlink="">
      <xdr:nvSpPr>
        <xdr:cNvPr id="56" name="Retângulo: Cantos Arredondados 55">
          <a:extLst>
            <a:ext uri="{FF2B5EF4-FFF2-40B4-BE49-F238E27FC236}">
              <a16:creationId xmlns:a16="http://schemas.microsoft.com/office/drawing/2014/main" id="{00253A94-42BF-49A2-BF4D-EA4E4385940D}"/>
            </a:ext>
          </a:extLst>
        </xdr:cNvPr>
        <xdr:cNvSpPr/>
      </xdr:nvSpPr>
      <xdr:spPr>
        <a:xfrm>
          <a:off x="1285874" y="7896224"/>
          <a:ext cx="885825" cy="209551"/>
        </a:xfrm>
        <a:prstGeom prst="roundRect">
          <a:avLst/>
        </a:prstGeom>
        <a:solidFill>
          <a:schemeClr val="bg1">
            <a:lumMod val="8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35982</xdr:colOff>
      <xdr:row>41</xdr:row>
      <xdr:rowOff>11377</xdr:rowOff>
    </xdr:from>
    <xdr:to>
      <xdr:col>6</xdr:col>
      <xdr:colOff>502708</xdr:colOff>
      <xdr:row>43</xdr:row>
      <xdr:rowOff>160866</xdr:rowOff>
    </xdr:to>
    <xdr:sp macro="" textlink="">
      <xdr:nvSpPr>
        <xdr:cNvPr id="58" name="Retângulo: Cantos Diagonais Arredondados 57">
          <a:extLst>
            <a:ext uri="{FF2B5EF4-FFF2-40B4-BE49-F238E27FC236}">
              <a16:creationId xmlns:a16="http://schemas.microsoft.com/office/drawing/2014/main" id="{14B70DFC-9806-407B-9BE0-13E91D8E91B9}"/>
            </a:ext>
          </a:extLst>
        </xdr:cNvPr>
        <xdr:cNvSpPr/>
      </xdr:nvSpPr>
      <xdr:spPr>
        <a:xfrm>
          <a:off x="1255182" y="7821877"/>
          <a:ext cx="2905126" cy="530489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60000"/>
            <a:lumOff val="4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800" b="1">
              <a:solidFill>
                <a:schemeClr val="accent1">
                  <a:lumMod val="50000"/>
                </a:schemeClr>
              </a:solidFill>
              <a:latin typeface="+mn-lt"/>
              <a:ea typeface="+mn-ea"/>
              <a:cs typeface="+mn-cs"/>
            </a:rPr>
            <a:t>OPERACIONAL</a:t>
          </a:r>
        </a:p>
      </xdr:txBody>
    </xdr:sp>
    <xdr:clientData/>
  </xdr:twoCellAnchor>
  <xdr:twoCellAnchor>
    <xdr:from>
      <xdr:col>3</xdr:col>
      <xdr:colOff>62176</xdr:colOff>
      <xdr:row>37</xdr:row>
      <xdr:rowOff>40217</xdr:rowOff>
    </xdr:from>
    <xdr:to>
      <xdr:col>7</xdr:col>
      <xdr:colOff>528903</xdr:colOff>
      <xdr:row>39</xdr:row>
      <xdr:rowOff>189706</xdr:rowOff>
    </xdr:to>
    <xdr:grpSp>
      <xdr:nvGrpSpPr>
        <xdr:cNvPr id="62" name="Agrupar 61">
          <a:hlinkClick xmlns:r="http://schemas.openxmlformats.org/officeDocument/2006/relationships" r:id="rId11" tooltip="GERENCIAL"/>
          <a:extLst>
            <a:ext uri="{FF2B5EF4-FFF2-40B4-BE49-F238E27FC236}">
              <a16:creationId xmlns:a16="http://schemas.microsoft.com/office/drawing/2014/main" id="{F70131F0-7CAC-4DDF-AEE9-14323DDF545A}"/>
            </a:ext>
          </a:extLst>
        </xdr:cNvPr>
        <xdr:cNvGrpSpPr/>
      </xdr:nvGrpSpPr>
      <xdr:grpSpPr>
        <a:xfrm>
          <a:off x="1890976" y="6853767"/>
          <a:ext cx="2905127" cy="511439"/>
          <a:chOff x="1903676" y="7088717"/>
          <a:chExt cx="2922060" cy="530489"/>
        </a:xfrm>
      </xdr:grpSpPr>
      <xdr:sp macro="" textlink="">
        <xdr:nvSpPr>
          <xdr:cNvPr id="57" name="Retângulo: Cantos Diagonais Arredondados 56">
            <a:extLst>
              <a:ext uri="{FF2B5EF4-FFF2-40B4-BE49-F238E27FC236}">
                <a16:creationId xmlns:a16="http://schemas.microsoft.com/office/drawing/2014/main" id="{11890560-E658-4B26-A099-F0E6E173E27C}"/>
              </a:ext>
            </a:extLst>
          </xdr:cNvPr>
          <xdr:cNvSpPr/>
        </xdr:nvSpPr>
        <xdr:spPr>
          <a:xfrm>
            <a:off x="1903676" y="7088717"/>
            <a:ext cx="2922060" cy="530489"/>
          </a:xfrm>
          <a:prstGeom prst="round2DiagRect">
            <a:avLst>
              <a:gd name="adj1" fmla="val 50000"/>
              <a:gd name="adj2" fmla="val 0"/>
            </a:avLst>
          </a:prstGeom>
          <a:solidFill>
            <a:schemeClr val="accent1">
              <a:lumMod val="60000"/>
              <a:lumOff val="40000"/>
              <a:alpha val="69804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800" b="1">
                <a:solidFill>
                  <a:schemeClr val="accent1">
                    <a:lumMod val="50000"/>
                  </a:schemeClr>
                </a:solidFill>
              </a:rPr>
              <a:t>GERENCIAL</a:t>
            </a:r>
          </a:p>
        </xdr:txBody>
      </xdr:sp>
      <xdr:sp macro="" textlink="">
        <xdr:nvSpPr>
          <xdr:cNvPr id="59" name="Elipse 58">
            <a:extLst>
              <a:ext uri="{FF2B5EF4-FFF2-40B4-BE49-F238E27FC236}">
                <a16:creationId xmlns:a16="http://schemas.microsoft.com/office/drawing/2014/main" id="{2CE918D8-CB1E-4565-9D69-A83EF43760C4}"/>
              </a:ext>
            </a:extLst>
          </xdr:cNvPr>
          <xdr:cNvSpPr/>
        </xdr:nvSpPr>
        <xdr:spPr>
          <a:xfrm>
            <a:off x="4373033" y="7244424"/>
            <a:ext cx="219075" cy="219075"/>
          </a:xfrm>
          <a:prstGeom prst="ellipse">
            <a:avLst/>
          </a:prstGeom>
          <a:noFill/>
          <a:ln>
            <a:solidFill>
              <a:schemeClr val="accent1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t-BR" sz="1100"/>
          </a:p>
        </xdr:txBody>
      </xdr:sp>
    </xdr:grpSp>
    <xdr:clientData/>
  </xdr:twoCellAnchor>
  <xdr:twoCellAnchor>
    <xdr:from>
      <xdr:col>6</xdr:col>
      <xdr:colOff>26457</xdr:colOff>
      <xdr:row>41</xdr:row>
      <xdr:rowOff>167084</xdr:rowOff>
    </xdr:from>
    <xdr:to>
      <xdr:col>6</xdr:col>
      <xdr:colOff>245532</xdr:colOff>
      <xdr:row>43</xdr:row>
      <xdr:rowOff>5159</xdr:rowOff>
    </xdr:to>
    <xdr:sp macro="" textlink="">
      <xdr:nvSpPr>
        <xdr:cNvPr id="60" name="Elipse 59">
          <a:extLst>
            <a:ext uri="{FF2B5EF4-FFF2-40B4-BE49-F238E27FC236}">
              <a16:creationId xmlns:a16="http://schemas.microsoft.com/office/drawing/2014/main" id="{00CCB073-1B0E-4B7F-B0F6-03A3D49CCEA8}"/>
            </a:ext>
          </a:extLst>
        </xdr:cNvPr>
        <xdr:cNvSpPr/>
      </xdr:nvSpPr>
      <xdr:spPr>
        <a:xfrm>
          <a:off x="3684057" y="7977584"/>
          <a:ext cx="219075" cy="219075"/>
        </a:xfrm>
        <a:prstGeom prst="ellipse">
          <a:avLst/>
        </a:prstGeom>
        <a:solidFill>
          <a:schemeClr val="accent1"/>
        </a:solidFill>
        <a:ln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9</xdr:col>
      <xdr:colOff>190500</xdr:colOff>
      <xdr:row>33</xdr:row>
      <xdr:rowOff>31750</xdr:rowOff>
    </xdr:from>
    <xdr:to>
      <xdr:col>10</xdr:col>
      <xdr:colOff>172487</xdr:colOff>
      <xdr:row>35</xdr:row>
      <xdr:rowOff>95250</xdr:rowOff>
    </xdr:to>
    <xdr:pic>
      <xdr:nvPicPr>
        <xdr:cNvPr id="61" name="Imagem 60" descr="Ícone de alto custo ilustração do vetor. Ilustração de alto - 159532336">
          <a:extLst>
            <a:ext uri="{FF2B5EF4-FFF2-40B4-BE49-F238E27FC236}">
              <a16:creationId xmlns:a16="http://schemas.microsoft.com/office/drawing/2014/main" id="{DF0E9F38-D59F-45CF-A826-E2B37CFC54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lum bright="70000" contrast="-70000"/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>
                      <a14:foregroundMark x1="35750" y1="69875" x2="35750" y2="69875"/>
                      <a14:foregroundMark x1="47000" y1="68875" x2="47000" y2="68875"/>
                      <a14:foregroundMark x1="55875" y1="69000" x2="55875" y2="69000"/>
                      <a14:foregroundMark x1="67750" y1="68750" x2="67750" y2="687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455" t="23611" r="21358" b="23612"/>
        <a:stretch/>
      </xdr:blipFill>
      <xdr:spPr bwMode="auto">
        <a:xfrm>
          <a:off x="5676900" y="6318250"/>
          <a:ext cx="591587" cy="44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569383</xdr:colOff>
      <xdr:row>36</xdr:row>
      <xdr:rowOff>0</xdr:rowOff>
    </xdr:from>
    <xdr:to>
      <xdr:col>28</xdr:col>
      <xdr:colOff>392906</xdr:colOff>
      <xdr:row>45</xdr:row>
      <xdr:rowOff>169333</xdr:rowOff>
    </xdr:to>
    <xdr:graphicFrame macro="">
      <xdr:nvGraphicFramePr>
        <xdr:cNvPr id="49" name="Gráfico 48">
          <a:extLst>
            <a:ext uri="{FF2B5EF4-FFF2-40B4-BE49-F238E27FC236}">
              <a16:creationId xmlns:a16="http://schemas.microsoft.com/office/drawing/2014/main" id="{A273F8FA-FE58-491B-8DCC-F0EFDDE123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25</xdr:col>
      <xdr:colOff>261935</xdr:colOff>
      <xdr:row>4</xdr:row>
      <xdr:rowOff>35718</xdr:rowOff>
    </xdr:from>
    <xdr:to>
      <xdr:col>28</xdr:col>
      <xdr:colOff>523874</xdr:colOff>
      <xdr:row>12</xdr:row>
      <xdr:rowOff>167718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0" name="EMPRESA">
              <a:extLst>
                <a:ext uri="{FF2B5EF4-FFF2-40B4-BE49-F238E27FC236}">
                  <a16:creationId xmlns:a16="http://schemas.microsoft.com/office/drawing/2014/main" id="{2A9437C1-56E9-4C2C-9503-A075F732C378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MPRES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501935" y="797718"/>
              <a:ext cx="2090739" cy="165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 editAs="oneCell">
    <xdr:from>
      <xdr:col>13</xdr:col>
      <xdr:colOff>543284</xdr:colOff>
      <xdr:row>17</xdr:row>
      <xdr:rowOff>142875</xdr:rowOff>
    </xdr:from>
    <xdr:to>
      <xdr:col>17</xdr:col>
      <xdr:colOff>361950</xdr:colOff>
      <xdr:row>29</xdr:row>
      <xdr:rowOff>104775</xdr:rowOff>
    </xdr:to>
    <xdr:pic>
      <xdr:nvPicPr>
        <xdr:cNvPr id="67" name="Imagem 66" descr="Ícones de computador Símbolo de peso, fundo transparente PESO miniatura de clipart PNG">
          <a:extLst>
            <a:ext uri="{FF2B5EF4-FFF2-40B4-BE49-F238E27FC236}">
              <a16:creationId xmlns:a16="http://schemas.microsoft.com/office/drawing/2014/main" id="{74AAE484-40AD-4CCE-9B73-AA8E22B9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16">
                  <a14:imgEffect>
                    <a14:backgroundRemoval t="1000" b="100000" l="0" r="100000"/>
                  </a14:imgEffect>
                  <a14:imgEffect>
                    <a14:artisticCrisscrossEtching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8084" y="3381375"/>
          <a:ext cx="2257066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47320</xdr:colOff>
      <xdr:row>16</xdr:row>
      <xdr:rowOff>138114</xdr:rowOff>
    </xdr:from>
    <xdr:to>
      <xdr:col>23</xdr:col>
      <xdr:colOff>521136</xdr:colOff>
      <xdr:row>30</xdr:row>
      <xdr:rowOff>36909</xdr:rowOff>
    </xdr:to>
    <xdr:pic>
      <xdr:nvPicPr>
        <xdr:cNvPr id="66" name="Imagem 65" descr="Saco de dinheiro, fundo transparente Saco de dinheiro miniatura de clipart PNG">
          <a:extLst>
            <a:ext uri="{FF2B5EF4-FFF2-40B4-BE49-F238E27FC236}">
              <a16:creationId xmlns:a16="http://schemas.microsoft.com/office/drawing/2014/main" id="{D6FE4817-EF03-4589-A6AF-DEC2CB8A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duotone>
            <a:srgbClr val="A5A5A5">
              <a:shade val="45000"/>
              <a:satMod val="135000"/>
            </a:srgb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100000" l="0" r="100000">
                      <a14:foregroundMark x1="20000" y1="19518" x2="47333" y2="18640"/>
                      <a14:foregroundMark x1="55417" y1="36639" x2="55417" y2="36639"/>
                      <a14:backgroundMark x1="3667" y1="67763" x2="2000" y2="80263"/>
                      <a14:backgroundMark x1="96667" y1="68860" x2="98667" y2="83114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48920" y="3186114"/>
          <a:ext cx="1693016" cy="2565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276225</xdr:colOff>
      <xdr:row>19</xdr:row>
      <xdr:rowOff>38100</xdr:rowOff>
    </xdr:from>
    <xdr:to>
      <xdr:col>20</xdr:col>
      <xdr:colOff>523875</xdr:colOff>
      <xdr:row>31</xdr:row>
      <xdr:rowOff>138113</xdr:rowOff>
    </xdr:to>
    <xdr:graphicFrame macro="">
      <xdr:nvGraphicFramePr>
        <xdr:cNvPr id="63" name="Gráfico 62">
          <a:extLst>
            <a:ext uri="{FF2B5EF4-FFF2-40B4-BE49-F238E27FC236}">
              <a16:creationId xmlns:a16="http://schemas.microsoft.com/office/drawing/2014/main" id="{6D3079B5-88BF-4ECE-9A80-EF66C26728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22</xdr:col>
      <xdr:colOff>135732</xdr:colOff>
      <xdr:row>19</xdr:row>
      <xdr:rowOff>38100</xdr:rowOff>
    </xdr:from>
    <xdr:to>
      <xdr:col>28</xdr:col>
      <xdr:colOff>383382</xdr:colOff>
      <xdr:row>31</xdr:row>
      <xdr:rowOff>138113</xdr:rowOff>
    </xdr:to>
    <xdr:graphicFrame macro="">
      <xdr:nvGraphicFramePr>
        <xdr:cNvPr id="64" name="Gráfico 63">
          <a:extLst>
            <a:ext uri="{FF2B5EF4-FFF2-40B4-BE49-F238E27FC236}">
              <a16:creationId xmlns:a16="http://schemas.microsoft.com/office/drawing/2014/main" id="{0074FC02-C415-4CF7-8431-DF78EFA79F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21</xdr:col>
      <xdr:colOff>533400</xdr:colOff>
      <xdr:row>4</xdr:row>
      <xdr:rowOff>35719</xdr:rowOff>
    </xdr:from>
    <xdr:to>
      <xdr:col>25</xdr:col>
      <xdr:colOff>173831</xdr:colOff>
      <xdr:row>12</xdr:row>
      <xdr:rowOff>167719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5" name="TIPO PRODUTO">
              <a:extLst>
                <a:ext uri="{FF2B5EF4-FFF2-40B4-BE49-F238E27FC236}">
                  <a16:creationId xmlns:a16="http://schemas.microsoft.com/office/drawing/2014/main" id="{E01A9299-88BA-4E47-BAD4-8FBA26A5A200}"/>
                </a:ext>
              </a:extLst>
            </xdr:cNvPr>
            <xdr:cNvGraphicFramePr>
              <a:graphicFrameLocks noMove="1" noResize="1"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 PRODU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335000" y="797719"/>
              <a:ext cx="2078831" cy="165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 fLocksWithSheet="0"/>
  </xdr:twoCellAnchor>
  <xdr:twoCellAnchor editAs="oneCell">
    <xdr:from>
      <xdr:col>14</xdr:col>
      <xdr:colOff>111919</xdr:colOff>
      <xdr:row>14</xdr:row>
      <xdr:rowOff>40482</xdr:rowOff>
    </xdr:from>
    <xdr:to>
      <xdr:col>15</xdr:col>
      <xdr:colOff>12581</xdr:colOff>
      <xdr:row>16</xdr:row>
      <xdr:rowOff>171450</xdr:rowOff>
    </xdr:to>
    <xdr:pic>
      <xdr:nvPicPr>
        <xdr:cNvPr id="69" name="Imagem 68" descr="ícone Ferro, peso Livre de Icon Works">
          <a:extLst>
            <a:ext uri="{FF2B5EF4-FFF2-40B4-BE49-F238E27FC236}">
              <a16:creationId xmlns:a16="http://schemas.microsoft.com/office/drawing/2014/main" id="{6E6257C2-3700-4DB0-A1D6-C4244618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duotone>
            <a:srgbClr val="E7E6E6">
              <a:shade val="45000"/>
              <a:satMod val="135000"/>
            </a:srgb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0" b="97561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6319" y="2707482"/>
          <a:ext cx="510262" cy="511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17</xdr:row>
          <xdr:rowOff>19050</xdr:rowOff>
        </xdr:from>
        <xdr:to>
          <xdr:col>5</xdr:col>
          <xdr:colOff>235324</xdr:colOff>
          <xdr:row>30</xdr:row>
          <xdr:rowOff>171450</xdr:rowOff>
        </xdr:to>
        <xdr:pic>
          <xdr:nvPicPr>
            <xdr:cNvPr id="70" name="Imagem 69">
              <a:extLst>
                <a:ext uri="{FF2B5EF4-FFF2-40B4-BE49-F238E27FC236}">
                  <a16:creationId xmlns:a16="http://schemas.microsoft.com/office/drawing/2014/main" id="{C0AAE8FB-CBDC-4214-8410-DC21C0DC74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Analises!$AD$9:$AE$19" spid="_x0000_s3113"/>
                </a:ext>
              </a:extLst>
            </xdr:cNvPicPr>
          </xdr:nvPicPr>
          <xdr:blipFill>
            <a:blip xmlns:r="http://schemas.openxmlformats.org/officeDocument/2006/relationships" r:embed="rId22"/>
            <a:srcRect/>
            <a:stretch>
              <a:fillRect/>
            </a:stretch>
          </xdr:blipFill>
          <xdr:spPr bwMode="auto">
            <a:xfrm>
              <a:off x="190500" y="3257550"/>
              <a:ext cx="3092824" cy="2628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285750</xdr:colOff>
      <xdr:row>14</xdr:row>
      <xdr:rowOff>104776</xdr:rowOff>
    </xdr:from>
    <xdr:to>
      <xdr:col>1</xdr:col>
      <xdr:colOff>16084</xdr:colOff>
      <xdr:row>16</xdr:row>
      <xdr:rowOff>104776</xdr:rowOff>
    </xdr:to>
    <xdr:pic>
      <xdr:nvPicPr>
        <xdr:cNvPr id="71" name="Imagem 70" descr="Taça amorosa troféu, troféu, silhueta, prêmio, troféu png | PNGWing">
          <a:extLst>
            <a:ext uri="{FF2B5EF4-FFF2-40B4-BE49-F238E27FC236}">
              <a16:creationId xmlns:a16="http://schemas.microsoft.com/office/drawing/2014/main" id="{D8C3E2FD-E1A1-47D0-AF22-8FF3567E74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581" r="24917"/>
        <a:stretch/>
      </xdr:blipFill>
      <xdr:spPr bwMode="auto">
        <a:xfrm>
          <a:off x="285750" y="2771776"/>
          <a:ext cx="339934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285750</xdr:colOff>
      <xdr:row>14</xdr:row>
      <xdr:rowOff>16669</xdr:rowOff>
    </xdr:from>
    <xdr:to>
      <xdr:col>12</xdr:col>
      <xdr:colOff>485775</xdr:colOff>
      <xdr:row>31</xdr:row>
      <xdr:rowOff>19050</xdr:rowOff>
    </xdr:to>
    <xdr:sp macro="" textlink="">
      <xdr:nvSpPr>
        <xdr:cNvPr id="73" name="Retângulo 72">
          <a:extLst>
            <a:ext uri="{FF2B5EF4-FFF2-40B4-BE49-F238E27FC236}">
              <a16:creationId xmlns:a16="http://schemas.microsoft.com/office/drawing/2014/main" id="{FE2B8E11-BF1A-46AD-9DA6-01F41D39D4F6}"/>
            </a:ext>
          </a:extLst>
        </xdr:cNvPr>
        <xdr:cNvSpPr/>
      </xdr:nvSpPr>
      <xdr:spPr>
        <a:xfrm>
          <a:off x="3943350" y="2683669"/>
          <a:ext cx="3857625" cy="3240881"/>
        </a:xfrm>
        <a:prstGeom prst="rect">
          <a:avLst/>
        </a:prstGeom>
        <a:solidFill>
          <a:srgbClr val="ACC4E3">
            <a:alpha val="40000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6</xdr:col>
      <xdr:colOff>283294</xdr:colOff>
      <xdr:row>14</xdr:row>
      <xdr:rowOff>26195</xdr:rowOff>
    </xdr:from>
    <xdr:to>
      <xdr:col>12</xdr:col>
      <xdr:colOff>483982</xdr:colOff>
      <xdr:row>17</xdr:row>
      <xdr:rowOff>51602</xdr:rowOff>
    </xdr:to>
    <xdr:sp macro="" textlink="">
      <xdr:nvSpPr>
        <xdr:cNvPr id="74" name="Retângulo: Cantos Diagonais Arredondados 73">
          <a:extLst>
            <a:ext uri="{FF2B5EF4-FFF2-40B4-BE49-F238E27FC236}">
              <a16:creationId xmlns:a16="http://schemas.microsoft.com/office/drawing/2014/main" id="{CFCAB452-3F28-4B9F-8671-EEAAC683E13B}"/>
            </a:ext>
          </a:extLst>
        </xdr:cNvPr>
        <xdr:cNvSpPr/>
      </xdr:nvSpPr>
      <xdr:spPr>
        <a:xfrm>
          <a:off x="3940894" y="2693195"/>
          <a:ext cx="3858288" cy="596907"/>
        </a:xfrm>
        <a:prstGeom prst="round2DiagRect">
          <a:avLst>
            <a:gd name="adj1" fmla="val 50000"/>
            <a:gd name="adj2" fmla="val 0"/>
          </a:avLst>
        </a:prstGeom>
        <a:solidFill>
          <a:schemeClr val="accent1">
            <a:lumMod val="50000"/>
            <a:alpha val="69804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2000" b="1" baseline="0"/>
            <a:t>VENDAS POR ESTADO</a:t>
          </a:r>
          <a:endParaRPr lang="pt-BR" sz="2000" b="1"/>
        </a:p>
      </xdr:txBody>
    </xdr:sp>
    <xdr:clientData/>
  </xdr:twoCellAnchor>
  <xdr:twoCellAnchor>
    <xdr:from>
      <xdr:col>6</xdr:col>
      <xdr:colOff>457198</xdr:colOff>
      <xdr:row>16</xdr:row>
      <xdr:rowOff>104775</xdr:rowOff>
    </xdr:from>
    <xdr:to>
      <xdr:col>13</xdr:col>
      <xdr:colOff>390525</xdr:colOff>
      <xdr:row>32</xdr:row>
      <xdr:rowOff>19050</xdr:rowOff>
    </xdr:to>
    <xdr:graphicFrame macro="">
      <xdr:nvGraphicFramePr>
        <xdr:cNvPr id="72" name="Gráfico 71">
          <a:extLst>
            <a:ext uri="{FF2B5EF4-FFF2-40B4-BE49-F238E27FC236}">
              <a16:creationId xmlns:a16="http://schemas.microsoft.com/office/drawing/2014/main" id="{DB7CABF3-74E5-4A25-88EE-8208AE7F5B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 editAs="oneCell">
    <xdr:from>
      <xdr:col>6</xdr:col>
      <xdr:colOff>219077</xdr:colOff>
      <xdr:row>14</xdr:row>
      <xdr:rowOff>76201</xdr:rowOff>
    </xdr:from>
    <xdr:to>
      <xdr:col>7</xdr:col>
      <xdr:colOff>399195</xdr:colOff>
      <xdr:row>16</xdr:row>
      <xdr:rowOff>133350</xdr:rowOff>
    </xdr:to>
    <xdr:pic>
      <xdr:nvPicPr>
        <xdr:cNvPr id="76" name="Imagem 75" descr="Cifrão, ícone de diagrama de vendas de gráfico, mercado, texto, logotipo,  internet png | PNGWing">
          <a:extLst>
            <a:ext uri="{FF2B5EF4-FFF2-40B4-BE49-F238E27FC236}">
              <a16:creationId xmlns:a16="http://schemas.microsoft.com/office/drawing/2014/main" id="{ED67522C-FFEC-4190-9275-072FADB3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0" b="100000" l="0" r="100000">
                      <a14:foregroundMark x1="49834" y1="12575" x2="49834" y2="12575"/>
                      <a14:foregroundMark x1="73090" y1="74850" x2="73090" y2="74850"/>
                      <a14:foregroundMark x1="64120" y1="76048" x2="64120" y2="76048"/>
                      <a14:foregroundMark x1="53821" y1="82635" x2="53821" y2="82635"/>
                      <a14:foregroundMark x1="45515" y1="80838" x2="45515" y2="80838"/>
                      <a14:foregroundMark x1="36545" y1="79641" x2="36545" y2="79641"/>
                      <a14:foregroundMark x1="28571" y1="87425" x2="28571" y2="8742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7" y="2743201"/>
          <a:ext cx="789718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161924</xdr:colOff>
      <xdr:row>107</xdr:row>
      <xdr:rowOff>16072</xdr:rowOff>
    </xdr:from>
    <xdr:to>
      <xdr:col>20</xdr:col>
      <xdr:colOff>131063</xdr:colOff>
      <xdr:row>135</xdr:row>
      <xdr:rowOff>151113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53C9CAB-20C8-434F-A6D1-A43F6F0F0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600324" y="20399572"/>
          <a:ext cx="9722739" cy="54690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252973</xdr:colOff>
      <xdr:row>27</xdr:row>
      <xdr:rowOff>154749</xdr:rowOff>
    </xdr:from>
    <xdr:to>
      <xdr:col>0</xdr:col>
      <xdr:colOff>1019736</xdr:colOff>
      <xdr:row>31</xdr:row>
      <xdr:rowOff>126626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062240BD-095B-4A45-ABB6-D666CCF1C84D}"/>
            </a:ext>
          </a:extLst>
        </xdr:cNvPr>
        <xdr:cNvSpPr/>
      </xdr:nvSpPr>
      <xdr:spPr>
        <a:xfrm>
          <a:off x="252973" y="5331867"/>
          <a:ext cx="766763" cy="733877"/>
        </a:xfrm>
        <a:prstGeom prst="ellipse">
          <a:avLst/>
        </a:prstGeom>
        <a:solidFill>
          <a:srgbClr val="3E4095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1</xdr:col>
      <xdr:colOff>458632</xdr:colOff>
      <xdr:row>28</xdr:row>
      <xdr:rowOff>41768</xdr:rowOff>
    </xdr:from>
    <xdr:to>
      <xdr:col>2</xdr:col>
      <xdr:colOff>489137</xdr:colOff>
      <xdr:row>31</xdr:row>
      <xdr:rowOff>140365</xdr:rowOff>
    </xdr:to>
    <xdr:sp macro="" textlink="">
      <xdr:nvSpPr>
        <xdr:cNvPr id="10" name="Elipse 9">
          <a:extLst>
            <a:ext uri="{FF2B5EF4-FFF2-40B4-BE49-F238E27FC236}">
              <a16:creationId xmlns:a16="http://schemas.microsoft.com/office/drawing/2014/main" id="{0761751C-9A61-49FE-8D78-5A6D994E1BC2}"/>
            </a:ext>
          </a:extLst>
        </xdr:cNvPr>
        <xdr:cNvSpPr/>
      </xdr:nvSpPr>
      <xdr:spPr>
        <a:xfrm>
          <a:off x="2273985" y="5409386"/>
          <a:ext cx="635623" cy="670097"/>
        </a:xfrm>
        <a:prstGeom prst="ellipse">
          <a:avLst/>
        </a:prstGeom>
        <a:solidFill>
          <a:srgbClr val="3B6EA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twoCellAnchor>
    <xdr:from>
      <xdr:col>0</xdr:col>
      <xdr:colOff>1323885</xdr:colOff>
      <xdr:row>28</xdr:row>
      <xdr:rowOff>18598</xdr:rowOff>
    </xdr:from>
    <xdr:to>
      <xdr:col>1</xdr:col>
      <xdr:colOff>174147</xdr:colOff>
      <xdr:row>31</xdr:row>
      <xdr:rowOff>117196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0B0D73B3-5F0E-4FCD-8EE1-53D93B3077A6}"/>
            </a:ext>
          </a:extLst>
        </xdr:cNvPr>
        <xdr:cNvSpPr/>
      </xdr:nvSpPr>
      <xdr:spPr>
        <a:xfrm>
          <a:off x="1323885" y="5386216"/>
          <a:ext cx="665615" cy="670098"/>
        </a:xfrm>
        <a:prstGeom prst="ellipse">
          <a:avLst/>
        </a:prstGeom>
        <a:solidFill>
          <a:srgbClr val="0796E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pt-BR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pt-BR"/>
        </a:p>
      </xdr:txBody>
    </xdr:sp>
    <xdr:clientData/>
  </xdr:twoCellAnchor>
  <xdr:oneCellAnchor>
    <xdr:from>
      <xdr:col>0</xdr:col>
      <xdr:colOff>0</xdr:colOff>
      <xdr:row>17</xdr:row>
      <xdr:rowOff>108697</xdr:rowOff>
    </xdr:from>
    <xdr:ext cx="1442373" cy="1439152"/>
    <xdr:pic>
      <xdr:nvPicPr>
        <xdr:cNvPr id="12" name="Imagem 11">
          <a:extLst>
            <a:ext uri="{FF2B5EF4-FFF2-40B4-BE49-F238E27FC236}">
              <a16:creationId xmlns:a16="http://schemas.microsoft.com/office/drawing/2014/main" id="{19744953-C19A-462B-8B81-14273ECC6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80815"/>
          <a:ext cx="1442373" cy="1439152"/>
        </a:xfrm>
        <a:prstGeom prst="rect">
          <a:avLst/>
        </a:prstGeom>
      </xdr:spPr>
    </xdr:pic>
    <xdr:clientData/>
  </xdr:oneCellAnchor>
  <xdr:oneCellAnchor>
    <xdr:from>
      <xdr:col>0</xdr:col>
      <xdr:colOff>1467970</xdr:colOff>
      <xdr:row>18</xdr:row>
      <xdr:rowOff>96054</xdr:rowOff>
    </xdr:from>
    <xdr:ext cx="1442373" cy="1439152"/>
    <xdr:pic>
      <xdr:nvPicPr>
        <xdr:cNvPr id="14" name="Imagem 13">
          <a:extLst>
            <a:ext uri="{FF2B5EF4-FFF2-40B4-BE49-F238E27FC236}">
              <a16:creationId xmlns:a16="http://schemas.microsoft.com/office/drawing/2014/main" id="{349651EF-A4DE-4AAD-82CF-4ADCE54B6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970" y="3558672"/>
          <a:ext cx="1442373" cy="1439152"/>
        </a:xfrm>
        <a:prstGeom prst="rect">
          <a:avLst/>
        </a:prstGeom>
      </xdr:spPr>
    </xdr:pic>
    <xdr:clientData/>
  </xdr:oneCellAnchor>
  <xdr:oneCellAnchor>
    <xdr:from>
      <xdr:col>0</xdr:col>
      <xdr:colOff>373156</xdr:colOff>
      <xdr:row>15</xdr:row>
      <xdr:rowOff>16893</xdr:rowOff>
    </xdr:from>
    <xdr:ext cx="1442373" cy="1439152"/>
    <xdr:pic>
      <xdr:nvPicPr>
        <xdr:cNvPr id="15" name="Imagem 14">
          <a:extLst>
            <a:ext uri="{FF2B5EF4-FFF2-40B4-BE49-F238E27FC236}">
              <a16:creationId xmlns:a16="http://schemas.microsoft.com/office/drawing/2014/main" id="{BA32E01A-A727-4697-A6C7-0D1059910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156" y="2908011"/>
          <a:ext cx="1442373" cy="1439152"/>
        </a:xfrm>
        <a:prstGeom prst="rect">
          <a:avLst/>
        </a:prstGeom>
      </xdr:spPr>
    </xdr:pic>
    <xdr:clientData/>
  </xdr:oneCellAnchor>
  <xdr:oneCellAnchor>
    <xdr:from>
      <xdr:col>1</xdr:col>
      <xdr:colOff>75482</xdr:colOff>
      <xdr:row>15</xdr:row>
      <xdr:rowOff>150560</xdr:rowOff>
    </xdr:from>
    <xdr:ext cx="1442373" cy="1439152"/>
    <xdr:pic>
      <xdr:nvPicPr>
        <xdr:cNvPr id="13" name="Imagem 12">
          <a:extLst>
            <a:ext uri="{FF2B5EF4-FFF2-40B4-BE49-F238E27FC236}">
              <a16:creationId xmlns:a16="http://schemas.microsoft.com/office/drawing/2014/main" id="{8A694DD8-9E07-4593-A906-95A64A5A0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0835" y="3041678"/>
          <a:ext cx="1442373" cy="1439152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sé Antonio" refreshedDate="44121.999240393518" missingItemsLimit="0" createdVersion="6" refreshedVersion="6" minRefreshableVersion="3" recordCount="429" xr:uid="{0E9DD0A5-2478-4976-A295-39EBEA0094FD}">
  <cacheSource type="worksheet">
    <worksheetSource name="Tabela2"/>
  </cacheSource>
  <cacheFields count="9">
    <cacheField name="ANO" numFmtId="0">
      <sharedItems containsSemiMixedTypes="0" containsString="0" containsNumber="1" containsInteger="1" minValue="2019" maxValue="2020" count="2">
        <n v="2019"/>
        <n v="2020"/>
      </sharedItems>
    </cacheField>
    <cacheField name="MÊS" numFmtId="0">
      <sharedItems count="12">
        <s v="FEV"/>
        <s v="JUN"/>
        <s v="JUL"/>
        <s v="ABR"/>
        <s v="NOV"/>
        <s v="DEZ"/>
        <s v="OUT"/>
        <s v="SET"/>
        <s v="MAI"/>
        <s v="JAN"/>
        <s v="MAR"/>
        <s v="AGO"/>
      </sharedItems>
    </cacheField>
    <cacheField name="DATA" numFmtId="14">
      <sharedItems containsSemiMixedTypes="0" containsNonDate="0" containsDate="1" containsString="0" minDate="2019-01-02T00:00:00" maxDate="2020-12-29T00:00:00"/>
    </cacheField>
    <cacheField name="EMPRESA" numFmtId="0">
      <sharedItems count="3">
        <s v="EMPRESA B"/>
        <s v="EMPRESA C"/>
        <s v="EMPRESA A"/>
      </sharedItems>
    </cacheField>
    <cacheField name="CLIENTE" numFmtId="0">
      <sharedItems count="10">
        <s v="CLIENTE 08"/>
        <s v="CLIENTE 04"/>
        <s v="CLIENTE 03"/>
        <s v="CLIENTE 07"/>
        <s v="CLIENTE 09"/>
        <s v="CLIENTE 01"/>
        <s v="CLIENTE 05"/>
        <s v="CLIENTE 02"/>
        <s v="CLIENTE 06"/>
        <s v="CLIENTE 10"/>
      </sharedItems>
    </cacheField>
    <cacheField name="ESTADO" numFmtId="0">
      <sharedItems count="6">
        <s v="MS"/>
        <s v="RJ"/>
        <s v="SP"/>
        <s v="AL"/>
        <s v="PE"/>
        <s v="RS"/>
      </sharedItems>
    </cacheField>
    <cacheField name="TIPO PRODUTO" numFmtId="0">
      <sharedItems count="5">
        <s v="SAL REFINADO 25 KG"/>
        <s v="SAL GRANEL"/>
        <s v="SAL 50 KG"/>
        <s v="SAL 25 KG"/>
        <s v="SAL BIG BAG"/>
      </sharedItems>
    </cacheField>
    <cacheField name="QUANTIDADE - KG" numFmtId="43">
      <sharedItems containsSemiMixedTypes="0" containsString="0" containsNumber="1" containsInteger="1" minValue="514" maxValue="4991"/>
    </cacheField>
    <cacheField name="VALOR - R$" numFmtId="164">
      <sharedItems containsSemiMixedTypes="0" containsString="0" containsNumber="1" containsInteger="1" minValue="2575" maxValue="296640"/>
    </cacheField>
  </cacheFields>
  <extLst>
    <ext xmlns:x14="http://schemas.microsoft.com/office/spreadsheetml/2009/9/main" uri="{725AE2AE-9491-48be-B2B4-4EB974FC3084}">
      <x14:pivotCacheDefinition pivotCacheId="37042361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29">
  <r>
    <x v="0"/>
    <x v="0"/>
    <d v="2019-02-09T00:00:00"/>
    <x v="0"/>
    <x v="0"/>
    <x v="0"/>
    <x v="0"/>
    <n v="2274"/>
    <n v="136440"/>
  </r>
  <r>
    <x v="0"/>
    <x v="1"/>
    <d v="2019-06-10T00:00:00"/>
    <x v="0"/>
    <x v="1"/>
    <x v="1"/>
    <x v="0"/>
    <n v="2646"/>
    <n v="158760"/>
  </r>
  <r>
    <x v="0"/>
    <x v="2"/>
    <d v="2019-07-21T00:00:00"/>
    <x v="0"/>
    <x v="2"/>
    <x v="2"/>
    <x v="1"/>
    <n v="2569"/>
    <n v="12845"/>
  </r>
  <r>
    <x v="0"/>
    <x v="3"/>
    <d v="2019-04-23T00:00:00"/>
    <x v="0"/>
    <x v="3"/>
    <x v="3"/>
    <x v="2"/>
    <n v="944"/>
    <n v="47200"/>
  </r>
  <r>
    <x v="0"/>
    <x v="4"/>
    <d v="2019-11-28T00:00:00"/>
    <x v="0"/>
    <x v="2"/>
    <x v="4"/>
    <x v="1"/>
    <n v="515"/>
    <n v="2575"/>
  </r>
  <r>
    <x v="0"/>
    <x v="0"/>
    <d v="2019-02-14T00:00:00"/>
    <x v="0"/>
    <x v="4"/>
    <x v="5"/>
    <x v="3"/>
    <n v="1854"/>
    <n v="92700"/>
  </r>
  <r>
    <x v="0"/>
    <x v="5"/>
    <d v="2019-12-04T00:00:00"/>
    <x v="1"/>
    <x v="5"/>
    <x v="5"/>
    <x v="0"/>
    <n v="2717"/>
    <n v="163020"/>
  </r>
  <r>
    <x v="0"/>
    <x v="2"/>
    <d v="2019-07-04T00:00:00"/>
    <x v="1"/>
    <x v="0"/>
    <x v="0"/>
    <x v="0"/>
    <n v="4234"/>
    <n v="254040"/>
  </r>
  <r>
    <x v="0"/>
    <x v="1"/>
    <d v="2019-06-08T00:00:00"/>
    <x v="2"/>
    <x v="1"/>
    <x v="1"/>
    <x v="0"/>
    <n v="4340"/>
    <n v="260400"/>
  </r>
  <r>
    <x v="0"/>
    <x v="2"/>
    <d v="2019-07-01T00:00:00"/>
    <x v="0"/>
    <x v="2"/>
    <x v="2"/>
    <x v="1"/>
    <n v="1171"/>
    <n v="5855"/>
  </r>
  <r>
    <x v="0"/>
    <x v="3"/>
    <d v="2019-04-14T00:00:00"/>
    <x v="1"/>
    <x v="3"/>
    <x v="3"/>
    <x v="2"/>
    <n v="3912"/>
    <n v="195600"/>
  </r>
  <r>
    <x v="0"/>
    <x v="6"/>
    <d v="2019-10-15T00:00:00"/>
    <x v="2"/>
    <x v="2"/>
    <x v="4"/>
    <x v="1"/>
    <n v="4339"/>
    <n v="21695"/>
  </r>
  <r>
    <x v="0"/>
    <x v="2"/>
    <d v="2019-07-15T00:00:00"/>
    <x v="2"/>
    <x v="4"/>
    <x v="5"/>
    <x v="3"/>
    <n v="2452"/>
    <n v="122600"/>
  </r>
  <r>
    <x v="0"/>
    <x v="5"/>
    <d v="2019-12-12T00:00:00"/>
    <x v="2"/>
    <x v="5"/>
    <x v="5"/>
    <x v="0"/>
    <n v="2758"/>
    <n v="165480"/>
  </r>
  <r>
    <x v="0"/>
    <x v="2"/>
    <d v="2019-07-11T00:00:00"/>
    <x v="2"/>
    <x v="0"/>
    <x v="0"/>
    <x v="0"/>
    <n v="2353"/>
    <n v="141180"/>
  </r>
  <r>
    <x v="0"/>
    <x v="5"/>
    <d v="2019-12-25T00:00:00"/>
    <x v="0"/>
    <x v="1"/>
    <x v="1"/>
    <x v="0"/>
    <n v="559"/>
    <n v="33540"/>
  </r>
  <r>
    <x v="0"/>
    <x v="0"/>
    <d v="2019-02-05T00:00:00"/>
    <x v="0"/>
    <x v="2"/>
    <x v="2"/>
    <x v="1"/>
    <n v="3732"/>
    <n v="18660"/>
  </r>
  <r>
    <x v="0"/>
    <x v="5"/>
    <d v="2019-12-09T00:00:00"/>
    <x v="1"/>
    <x v="3"/>
    <x v="3"/>
    <x v="2"/>
    <n v="1600"/>
    <n v="80000"/>
  </r>
  <r>
    <x v="0"/>
    <x v="7"/>
    <d v="2019-09-30T00:00:00"/>
    <x v="0"/>
    <x v="2"/>
    <x v="4"/>
    <x v="1"/>
    <n v="1658"/>
    <n v="8290"/>
  </r>
  <r>
    <x v="0"/>
    <x v="8"/>
    <d v="2019-05-29T00:00:00"/>
    <x v="0"/>
    <x v="4"/>
    <x v="5"/>
    <x v="3"/>
    <n v="935"/>
    <n v="46750"/>
  </r>
  <r>
    <x v="0"/>
    <x v="8"/>
    <d v="2019-05-21T00:00:00"/>
    <x v="0"/>
    <x v="5"/>
    <x v="5"/>
    <x v="0"/>
    <n v="3946"/>
    <n v="236760"/>
  </r>
  <r>
    <x v="0"/>
    <x v="6"/>
    <d v="2019-10-18T00:00:00"/>
    <x v="0"/>
    <x v="0"/>
    <x v="0"/>
    <x v="0"/>
    <n v="4883"/>
    <n v="292980"/>
  </r>
  <r>
    <x v="0"/>
    <x v="6"/>
    <d v="2019-10-28T00:00:00"/>
    <x v="0"/>
    <x v="1"/>
    <x v="1"/>
    <x v="0"/>
    <n v="4174"/>
    <n v="250440"/>
  </r>
  <r>
    <x v="0"/>
    <x v="4"/>
    <d v="2019-11-01T00:00:00"/>
    <x v="0"/>
    <x v="2"/>
    <x v="2"/>
    <x v="1"/>
    <n v="1498"/>
    <n v="7490"/>
  </r>
  <r>
    <x v="0"/>
    <x v="5"/>
    <d v="2019-12-25T00:00:00"/>
    <x v="0"/>
    <x v="3"/>
    <x v="3"/>
    <x v="2"/>
    <n v="3174"/>
    <n v="158700"/>
  </r>
  <r>
    <x v="0"/>
    <x v="9"/>
    <d v="2019-01-15T00:00:00"/>
    <x v="0"/>
    <x v="2"/>
    <x v="4"/>
    <x v="1"/>
    <n v="3336"/>
    <n v="16680"/>
  </r>
  <r>
    <x v="0"/>
    <x v="1"/>
    <d v="2019-06-17T00:00:00"/>
    <x v="1"/>
    <x v="4"/>
    <x v="5"/>
    <x v="3"/>
    <n v="2462"/>
    <n v="123100"/>
  </r>
  <r>
    <x v="0"/>
    <x v="0"/>
    <d v="2019-02-14T00:00:00"/>
    <x v="1"/>
    <x v="5"/>
    <x v="5"/>
    <x v="0"/>
    <n v="4427"/>
    <n v="265620"/>
  </r>
  <r>
    <x v="0"/>
    <x v="0"/>
    <d v="2019-02-07T00:00:00"/>
    <x v="1"/>
    <x v="0"/>
    <x v="0"/>
    <x v="0"/>
    <n v="2824"/>
    <n v="169440"/>
  </r>
  <r>
    <x v="0"/>
    <x v="10"/>
    <d v="2019-03-05T00:00:00"/>
    <x v="1"/>
    <x v="1"/>
    <x v="1"/>
    <x v="0"/>
    <n v="3527"/>
    <n v="211620"/>
  </r>
  <r>
    <x v="0"/>
    <x v="6"/>
    <d v="2019-10-29T00:00:00"/>
    <x v="1"/>
    <x v="2"/>
    <x v="2"/>
    <x v="1"/>
    <n v="2011"/>
    <n v="10055"/>
  </r>
  <r>
    <x v="0"/>
    <x v="9"/>
    <d v="2019-01-28T00:00:00"/>
    <x v="1"/>
    <x v="3"/>
    <x v="3"/>
    <x v="2"/>
    <n v="1336"/>
    <n v="66800"/>
  </r>
  <r>
    <x v="0"/>
    <x v="7"/>
    <d v="2019-09-15T00:00:00"/>
    <x v="2"/>
    <x v="2"/>
    <x v="4"/>
    <x v="1"/>
    <n v="2074"/>
    <n v="10370"/>
  </r>
  <r>
    <x v="0"/>
    <x v="5"/>
    <d v="2019-12-04T00:00:00"/>
    <x v="0"/>
    <x v="4"/>
    <x v="5"/>
    <x v="3"/>
    <n v="2430"/>
    <n v="121500"/>
  </r>
  <r>
    <x v="0"/>
    <x v="1"/>
    <d v="2019-06-02T00:00:00"/>
    <x v="1"/>
    <x v="5"/>
    <x v="5"/>
    <x v="0"/>
    <n v="1108"/>
    <n v="66480"/>
  </r>
  <r>
    <x v="0"/>
    <x v="11"/>
    <d v="2019-08-13T00:00:00"/>
    <x v="2"/>
    <x v="0"/>
    <x v="0"/>
    <x v="0"/>
    <n v="1111"/>
    <n v="66660"/>
  </r>
  <r>
    <x v="0"/>
    <x v="6"/>
    <d v="2019-10-11T00:00:00"/>
    <x v="2"/>
    <x v="1"/>
    <x v="1"/>
    <x v="0"/>
    <n v="524"/>
    <n v="31440"/>
  </r>
  <r>
    <x v="0"/>
    <x v="3"/>
    <d v="2019-04-23T00:00:00"/>
    <x v="2"/>
    <x v="2"/>
    <x v="2"/>
    <x v="1"/>
    <n v="3628"/>
    <n v="18140"/>
  </r>
  <r>
    <x v="0"/>
    <x v="8"/>
    <d v="2019-05-17T00:00:00"/>
    <x v="2"/>
    <x v="3"/>
    <x v="3"/>
    <x v="2"/>
    <n v="2465"/>
    <n v="123250"/>
  </r>
  <r>
    <x v="0"/>
    <x v="4"/>
    <d v="2019-11-27T00:00:00"/>
    <x v="0"/>
    <x v="1"/>
    <x v="1"/>
    <x v="0"/>
    <n v="827"/>
    <n v="49620"/>
  </r>
  <r>
    <x v="0"/>
    <x v="9"/>
    <d v="2019-01-08T00:00:00"/>
    <x v="0"/>
    <x v="2"/>
    <x v="2"/>
    <x v="1"/>
    <n v="3719"/>
    <n v="18595"/>
  </r>
  <r>
    <x v="0"/>
    <x v="4"/>
    <d v="2019-11-20T00:00:00"/>
    <x v="0"/>
    <x v="3"/>
    <x v="3"/>
    <x v="2"/>
    <n v="3572"/>
    <n v="178600"/>
  </r>
  <r>
    <x v="0"/>
    <x v="5"/>
    <d v="2019-12-05T00:00:00"/>
    <x v="0"/>
    <x v="2"/>
    <x v="4"/>
    <x v="1"/>
    <n v="4275"/>
    <n v="21375"/>
  </r>
  <r>
    <x v="0"/>
    <x v="3"/>
    <d v="2019-04-10T00:00:00"/>
    <x v="0"/>
    <x v="4"/>
    <x v="5"/>
    <x v="3"/>
    <n v="4546"/>
    <n v="227300"/>
  </r>
  <r>
    <x v="0"/>
    <x v="9"/>
    <d v="2019-01-13T00:00:00"/>
    <x v="0"/>
    <x v="5"/>
    <x v="5"/>
    <x v="0"/>
    <n v="3782"/>
    <n v="226920"/>
  </r>
  <r>
    <x v="0"/>
    <x v="5"/>
    <d v="2019-12-19T00:00:00"/>
    <x v="0"/>
    <x v="0"/>
    <x v="0"/>
    <x v="0"/>
    <n v="1660"/>
    <n v="99600"/>
  </r>
  <r>
    <x v="0"/>
    <x v="9"/>
    <d v="2019-01-20T00:00:00"/>
    <x v="0"/>
    <x v="2"/>
    <x v="2"/>
    <x v="1"/>
    <n v="2344"/>
    <n v="11720"/>
  </r>
  <r>
    <x v="0"/>
    <x v="2"/>
    <d v="2019-07-26T00:00:00"/>
    <x v="0"/>
    <x v="3"/>
    <x v="3"/>
    <x v="2"/>
    <n v="714"/>
    <n v="35700"/>
  </r>
  <r>
    <x v="0"/>
    <x v="4"/>
    <d v="2019-11-27T00:00:00"/>
    <x v="0"/>
    <x v="2"/>
    <x v="4"/>
    <x v="1"/>
    <n v="3899"/>
    <n v="19495"/>
  </r>
  <r>
    <x v="0"/>
    <x v="1"/>
    <d v="2019-06-16T00:00:00"/>
    <x v="0"/>
    <x v="4"/>
    <x v="5"/>
    <x v="3"/>
    <n v="3019"/>
    <n v="150950"/>
  </r>
  <r>
    <x v="0"/>
    <x v="7"/>
    <d v="2019-09-26T00:00:00"/>
    <x v="0"/>
    <x v="5"/>
    <x v="5"/>
    <x v="0"/>
    <n v="3329"/>
    <n v="199740"/>
  </r>
  <r>
    <x v="0"/>
    <x v="7"/>
    <d v="2019-09-28T00:00:00"/>
    <x v="0"/>
    <x v="0"/>
    <x v="0"/>
    <x v="0"/>
    <n v="2892"/>
    <n v="173520"/>
  </r>
  <r>
    <x v="0"/>
    <x v="4"/>
    <d v="2019-11-22T00:00:00"/>
    <x v="1"/>
    <x v="1"/>
    <x v="1"/>
    <x v="0"/>
    <n v="3642"/>
    <n v="218520"/>
  </r>
  <r>
    <x v="0"/>
    <x v="1"/>
    <d v="2019-06-12T00:00:00"/>
    <x v="0"/>
    <x v="2"/>
    <x v="2"/>
    <x v="1"/>
    <n v="1495"/>
    <n v="7475"/>
  </r>
  <r>
    <x v="0"/>
    <x v="8"/>
    <d v="2019-05-04T00:00:00"/>
    <x v="0"/>
    <x v="3"/>
    <x v="3"/>
    <x v="2"/>
    <n v="1685"/>
    <n v="84250"/>
  </r>
  <r>
    <x v="0"/>
    <x v="9"/>
    <d v="2019-01-26T00:00:00"/>
    <x v="0"/>
    <x v="2"/>
    <x v="4"/>
    <x v="1"/>
    <n v="4102"/>
    <n v="20510"/>
  </r>
  <r>
    <x v="0"/>
    <x v="0"/>
    <d v="2019-02-19T00:00:00"/>
    <x v="0"/>
    <x v="4"/>
    <x v="5"/>
    <x v="3"/>
    <n v="1889"/>
    <n v="94450"/>
  </r>
  <r>
    <x v="0"/>
    <x v="9"/>
    <d v="2019-01-27T00:00:00"/>
    <x v="0"/>
    <x v="5"/>
    <x v="5"/>
    <x v="0"/>
    <n v="3425"/>
    <n v="205500"/>
  </r>
  <r>
    <x v="0"/>
    <x v="3"/>
    <d v="2019-04-07T00:00:00"/>
    <x v="0"/>
    <x v="0"/>
    <x v="0"/>
    <x v="0"/>
    <n v="844"/>
    <n v="50640"/>
  </r>
  <r>
    <x v="0"/>
    <x v="9"/>
    <d v="2019-01-29T00:00:00"/>
    <x v="0"/>
    <x v="1"/>
    <x v="1"/>
    <x v="0"/>
    <n v="2158"/>
    <n v="129480"/>
  </r>
  <r>
    <x v="0"/>
    <x v="5"/>
    <d v="2019-12-27T00:00:00"/>
    <x v="0"/>
    <x v="2"/>
    <x v="2"/>
    <x v="1"/>
    <n v="4015"/>
    <n v="20075"/>
  </r>
  <r>
    <x v="0"/>
    <x v="2"/>
    <d v="2019-07-22T00:00:00"/>
    <x v="1"/>
    <x v="3"/>
    <x v="3"/>
    <x v="2"/>
    <n v="4700"/>
    <n v="235000"/>
  </r>
  <r>
    <x v="0"/>
    <x v="9"/>
    <d v="2019-01-29T00:00:00"/>
    <x v="1"/>
    <x v="2"/>
    <x v="4"/>
    <x v="1"/>
    <n v="744"/>
    <n v="3720"/>
  </r>
  <r>
    <x v="0"/>
    <x v="11"/>
    <d v="2019-08-17T00:00:00"/>
    <x v="1"/>
    <x v="4"/>
    <x v="5"/>
    <x v="3"/>
    <n v="2367"/>
    <n v="118350"/>
  </r>
  <r>
    <x v="0"/>
    <x v="4"/>
    <d v="2019-11-18T00:00:00"/>
    <x v="1"/>
    <x v="5"/>
    <x v="5"/>
    <x v="0"/>
    <n v="1039"/>
    <n v="62340"/>
  </r>
  <r>
    <x v="0"/>
    <x v="7"/>
    <d v="2019-09-06T00:00:00"/>
    <x v="1"/>
    <x v="0"/>
    <x v="0"/>
    <x v="0"/>
    <n v="1203"/>
    <n v="72180"/>
  </r>
  <r>
    <x v="0"/>
    <x v="5"/>
    <d v="2019-12-28T00:00:00"/>
    <x v="1"/>
    <x v="1"/>
    <x v="1"/>
    <x v="0"/>
    <n v="1068"/>
    <n v="64080"/>
  </r>
  <r>
    <x v="0"/>
    <x v="11"/>
    <d v="2019-08-03T00:00:00"/>
    <x v="2"/>
    <x v="2"/>
    <x v="2"/>
    <x v="1"/>
    <n v="2132"/>
    <n v="10660"/>
  </r>
  <r>
    <x v="0"/>
    <x v="7"/>
    <d v="2019-09-11T00:00:00"/>
    <x v="0"/>
    <x v="3"/>
    <x v="3"/>
    <x v="2"/>
    <n v="2435"/>
    <n v="121750"/>
  </r>
  <r>
    <x v="0"/>
    <x v="3"/>
    <d v="2019-04-23T00:00:00"/>
    <x v="1"/>
    <x v="2"/>
    <x v="4"/>
    <x v="1"/>
    <n v="775"/>
    <n v="3875"/>
  </r>
  <r>
    <x v="0"/>
    <x v="7"/>
    <d v="2019-09-08T00:00:00"/>
    <x v="2"/>
    <x v="4"/>
    <x v="5"/>
    <x v="3"/>
    <n v="4220"/>
    <n v="211000"/>
  </r>
  <r>
    <x v="0"/>
    <x v="1"/>
    <d v="2019-06-22T00:00:00"/>
    <x v="2"/>
    <x v="5"/>
    <x v="5"/>
    <x v="0"/>
    <n v="4229"/>
    <n v="253740"/>
  </r>
  <r>
    <x v="0"/>
    <x v="4"/>
    <d v="2019-11-19T00:00:00"/>
    <x v="0"/>
    <x v="0"/>
    <x v="0"/>
    <x v="0"/>
    <n v="3276"/>
    <n v="196560"/>
  </r>
  <r>
    <x v="0"/>
    <x v="0"/>
    <d v="2019-02-17T00:00:00"/>
    <x v="0"/>
    <x v="1"/>
    <x v="1"/>
    <x v="0"/>
    <n v="2060"/>
    <n v="123600"/>
  </r>
  <r>
    <x v="0"/>
    <x v="8"/>
    <d v="2019-05-09T00:00:00"/>
    <x v="0"/>
    <x v="2"/>
    <x v="2"/>
    <x v="1"/>
    <n v="1249"/>
    <n v="6245"/>
  </r>
  <r>
    <x v="0"/>
    <x v="0"/>
    <d v="2019-02-16T00:00:00"/>
    <x v="0"/>
    <x v="3"/>
    <x v="3"/>
    <x v="2"/>
    <n v="899"/>
    <n v="44950"/>
  </r>
  <r>
    <x v="0"/>
    <x v="7"/>
    <d v="2019-09-15T00:00:00"/>
    <x v="0"/>
    <x v="2"/>
    <x v="4"/>
    <x v="1"/>
    <n v="4890"/>
    <n v="24450"/>
  </r>
  <r>
    <x v="0"/>
    <x v="5"/>
    <d v="2019-12-22T00:00:00"/>
    <x v="0"/>
    <x v="4"/>
    <x v="5"/>
    <x v="3"/>
    <n v="2607"/>
    <n v="130350"/>
  </r>
  <r>
    <x v="0"/>
    <x v="5"/>
    <d v="2019-12-28T00:00:00"/>
    <x v="0"/>
    <x v="5"/>
    <x v="5"/>
    <x v="0"/>
    <n v="2554"/>
    <n v="153240"/>
  </r>
  <r>
    <x v="0"/>
    <x v="10"/>
    <d v="2019-03-27T00:00:00"/>
    <x v="0"/>
    <x v="4"/>
    <x v="0"/>
    <x v="1"/>
    <n v="933"/>
    <n v="4665"/>
  </r>
  <r>
    <x v="0"/>
    <x v="11"/>
    <d v="2019-08-15T00:00:00"/>
    <x v="0"/>
    <x v="2"/>
    <x v="0"/>
    <x v="3"/>
    <n v="4830"/>
    <n v="241500"/>
  </r>
  <r>
    <x v="0"/>
    <x v="2"/>
    <d v="2019-07-14T00:00:00"/>
    <x v="1"/>
    <x v="0"/>
    <x v="0"/>
    <x v="0"/>
    <n v="3170"/>
    <n v="190200"/>
  </r>
  <r>
    <x v="0"/>
    <x v="8"/>
    <d v="2019-05-03T00:00:00"/>
    <x v="0"/>
    <x v="2"/>
    <x v="4"/>
    <x v="1"/>
    <n v="4246"/>
    <n v="21230"/>
  </r>
  <r>
    <x v="0"/>
    <x v="2"/>
    <d v="2019-07-04T00:00:00"/>
    <x v="0"/>
    <x v="4"/>
    <x v="5"/>
    <x v="3"/>
    <n v="2844"/>
    <n v="142200"/>
  </r>
  <r>
    <x v="0"/>
    <x v="6"/>
    <d v="2019-10-27T00:00:00"/>
    <x v="0"/>
    <x v="5"/>
    <x v="5"/>
    <x v="0"/>
    <n v="3458"/>
    <n v="207480"/>
  </r>
  <r>
    <x v="0"/>
    <x v="3"/>
    <d v="2019-04-02T00:00:00"/>
    <x v="0"/>
    <x v="6"/>
    <x v="0"/>
    <x v="0"/>
    <n v="1702"/>
    <n v="102120"/>
  </r>
  <r>
    <x v="0"/>
    <x v="0"/>
    <d v="2019-02-21T00:00:00"/>
    <x v="0"/>
    <x v="4"/>
    <x v="0"/>
    <x v="1"/>
    <n v="2311"/>
    <n v="11555"/>
  </r>
  <r>
    <x v="0"/>
    <x v="8"/>
    <d v="2019-05-03T00:00:00"/>
    <x v="0"/>
    <x v="2"/>
    <x v="0"/>
    <x v="3"/>
    <n v="4658"/>
    <n v="232900"/>
  </r>
  <r>
    <x v="0"/>
    <x v="10"/>
    <d v="2019-03-13T00:00:00"/>
    <x v="0"/>
    <x v="0"/>
    <x v="0"/>
    <x v="0"/>
    <n v="645"/>
    <n v="38700"/>
  </r>
  <r>
    <x v="0"/>
    <x v="2"/>
    <d v="2019-07-29T00:00:00"/>
    <x v="0"/>
    <x v="1"/>
    <x v="1"/>
    <x v="0"/>
    <n v="4878"/>
    <n v="292680"/>
  </r>
  <r>
    <x v="0"/>
    <x v="2"/>
    <d v="2019-07-23T00:00:00"/>
    <x v="1"/>
    <x v="2"/>
    <x v="2"/>
    <x v="1"/>
    <n v="3544"/>
    <n v="17720"/>
  </r>
  <r>
    <x v="0"/>
    <x v="6"/>
    <d v="2019-10-16T00:00:00"/>
    <x v="1"/>
    <x v="3"/>
    <x v="3"/>
    <x v="2"/>
    <n v="3674"/>
    <n v="183700"/>
  </r>
  <r>
    <x v="0"/>
    <x v="5"/>
    <d v="2019-12-02T00:00:00"/>
    <x v="1"/>
    <x v="2"/>
    <x v="4"/>
    <x v="1"/>
    <n v="4231"/>
    <n v="21155"/>
  </r>
  <r>
    <x v="0"/>
    <x v="9"/>
    <d v="2019-01-04T00:00:00"/>
    <x v="1"/>
    <x v="4"/>
    <x v="5"/>
    <x v="3"/>
    <n v="3949"/>
    <n v="197450"/>
  </r>
  <r>
    <x v="0"/>
    <x v="5"/>
    <d v="2019-12-24T00:00:00"/>
    <x v="1"/>
    <x v="5"/>
    <x v="5"/>
    <x v="0"/>
    <n v="887"/>
    <n v="53220"/>
  </r>
  <r>
    <x v="0"/>
    <x v="6"/>
    <d v="2019-10-27T00:00:00"/>
    <x v="1"/>
    <x v="6"/>
    <x v="0"/>
    <x v="0"/>
    <n v="2724"/>
    <n v="163440"/>
  </r>
  <r>
    <x v="0"/>
    <x v="5"/>
    <d v="2019-12-11T00:00:00"/>
    <x v="2"/>
    <x v="4"/>
    <x v="0"/>
    <x v="1"/>
    <n v="4983"/>
    <n v="24915"/>
  </r>
  <r>
    <x v="0"/>
    <x v="10"/>
    <d v="2019-03-06T00:00:00"/>
    <x v="0"/>
    <x v="2"/>
    <x v="0"/>
    <x v="3"/>
    <n v="2452"/>
    <n v="122600"/>
  </r>
  <r>
    <x v="0"/>
    <x v="5"/>
    <d v="2019-12-13T00:00:00"/>
    <x v="1"/>
    <x v="6"/>
    <x v="0"/>
    <x v="0"/>
    <n v="2714"/>
    <n v="162840"/>
  </r>
  <r>
    <x v="0"/>
    <x v="6"/>
    <d v="2019-10-20T00:00:00"/>
    <x v="2"/>
    <x v="4"/>
    <x v="0"/>
    <x v="1"/>
    <n v="4930"/>
    <n v="24650"/>
  </r>
  <r>
    <x v="0"/>
    <x v="1"/>
    <d v="2019-06-21T00:00:00"/>
    <x v="2"/>
    <x v="2"/>
    <x v="0"/>
    <x v="3"/>
    <n v="1404"/>
    <n v="70200"/>
  </r>
  <r>
    <x v="0"/>
    <x v="8"/>
    <d v="2019-05-24T00:00:00"/>
    <x v="0"/>
    <x v="1"/>
    <x v="3"/>
    <x v="3"/>
    <n v="1870"/>
    <n v="93500"/>
  </r>
  <r>
    <x v="0"/>
    <x v="4"/>
    <d v="2019-11-06T00:00:00"/>
    <x v="0"/>
    <x v="7"/>
    <x v="3"/>
    <x v="3"/>
    <n v="4881"/>
    <n v="244050"/>
  </r>
  <r>
    <x v="0"/>
    <x v="10"/>
    <d v="2019-03-01T00:00:00"/>
    <x v="0"/>
    <x v="4"/>
    <x v="5"/>
    <x v="2"/>
    <n v="3071"/>
    <n v="153550"/>
  </r>
  <r>
    <x v="0"/>
    <x v="9"/>
    <d v="2019-01-05T00:00:00"/>
    <x v="0"/>
    <x v="8"/>
    <x v="1"/>
    <x v="1"/>
    <n v="4143"/>
    <n v="20715"/>
  </r>
  <r>
    <x v="0"/>
    <x v="1"/>
    <d v="2019-06-29T00:00:00"/>
    <x v="0"/>
    <x v="2"/>
    <x v="1"/>
    <x v="4"/>
    <n v="514"/>
    <n v="25700"/>
  </r>
  <r>
    <x v="0"/>
    <x v="3"/>
    <d v="2019-04-01T00:00:00"/>
    <x v="0"/>
    <x v="7"/>
    <x v="2"/>
    <x v="2"/>
    <n v="4298"/>
    <n v="214900"/>
  </r>
  <r>
    <x v="0"/>
    <x v="4"/>
    <d v="2019-11-18T00:00:00"/>
    <x v="1"/>
    <x v="4"/>
    <x v="0"/>
    <x v="3"/>
    <n v="4688"/>
    <n v="234400"/>
  </r>
  <r>
    <x v="0"/>
    <x v="6"/>
    <d v="2019-10-12T00:00:00"/>
    <x v="0"/>
    <x v="2"/>
    <x v="0"/>
    <x v="2"/>
    <n v="3636"/>
    <n v="181800"/>
  </r>
  <r>
    <x v="0"/>
    <x v="2"/>
    <d v="2019-07-10T00:00:00"/>
    <x v="0"/>
    <x v="7"/>
    <x v="3"/>
    <x v="4"/>
    <n v="1200"/>
    <n v="60000"/>
  </r>
  <r>
    <x v="0"/>
    <x v="3"/>
    <d v="2019-04-19T00:00:00"/>
    <x v="0"/>
    <x v="2"/>
    <x v="3"/>
    <x v="4"/>
    <n v="1200"/>
    <n v="60000"/>
  </r>
  <r>
    <x v="0"/>
    <x v="0"/>
    <d v="2019-02-27T00:00:00"/>
    <x v="0"/>
    <x v="0"/>
    <x v="5"/>
    <x v="4"/>
    <n v="1400"/>
    <n v="70000"/>
  </r>
  <r>
    <x v="0"/>
    <x v="8"/>
    <d v="2019-05-08T00:00:00"/>
    <x v="0"/>
    <x v="8"/>
    <x v="0"/>
    <x v="3"/>
    <n v="2298"/>
    <n v="114900"/>
  </r>
  <r>
    <x v="0"/>
    <x v="2"/>
    <d v="2019-07-07T00:00:00"/>
    <x v="0"/>
    <x v="4"/>
    <x v="1"/>
    <x v="0"/>
    <n v="2108"/>
    <n v="126480"/>
  </r>
  <r>
    <x v="0"/>
    <x v="5"/>
    <d v="2019-12-12T00:00:00"/>
    <x v="0"/>
    <x v="1"/>
    <x v="2"/>
    <x v="0"/>
    <n v="1881"/>
    <n v="112860"/>
  </r>
  <r>
    <x v="0"/>
    <x v="4"/>
    <d v="2019-11-09T00:00:00"/>
    <x v="0"/>
    <x v="9"/>
    <x v="5"/>
    <x v="1"/>
    <n v="4737"/>
    <n v="23685"/>
  </r>
  <r>
    <x v="0"/>
    <x v="6"/>
    <d v="2019-10-10T00:00:00"/>
    <x v="1"/>
    <x v="3"/>
    <x v="1"/>
    <x v="3"/>
    <n v="3417"/>
    <n v="170850"/>
  </r>
  <r>
    <x v="0"/>
    <x v="9"/>
    <d v="2019-01-19T00:00:00"/>
    <x v="1"/>
    <x v="0"/>
    <x v="1"/>
    <x v="3"/>
    <n v="1591"/>
    <n v="79550"/>
  </r>
  <r>
    <x v="0"/>
    <x v="4"/>
    <d v="2019-11-25T00:00:00"/>
    <x v="1"/>
    <x v="7"/>
    <x v="2"/>
    <x v="3"/>
    <n v="3088"/>
    <n v="154400"/>
  </r>
  <r>
    <x v="0"/>
    <x v="5"/>
    <d v="2019-12-28T00:00:00"/>
    <x v="1"/>
    <x v="2"/>
    <x v="0"/>
    <x v="2"/>
    <n v="978"/>
    <n v="48900"/>
  </r>
  <r>
    <x v="0"/>
    <x v="0"/>
    <d v="2019-02-22T00:00:00"/>
    <x v="1"/>
    <x v="7"/>
    <x v="0"/>
    <x v="1"/>
    <n v="1091"/>
    <n v="5455"/>
  </r>
  <r>
    <x v="0"/>
    <x v="3"/>
    <d v="2019-04-18T00:00:00"/>
    <x v="1"/>
    <x v="0"/>
    <x v="0"/>
    <x v="1"/>
    <n v="869"/>
    <n v="4345"/>
  </r>
  <r>
    <x v="0"/>
    <x v="9"/>
    <d v="2019-01-09T00:00:00"/>
    <x v="2"/>
    <x v="6"/>
    <x v="0"/>
    <x v="1"/>
    <n v="627"/>
    <n v="3135"/>
  </r>
  <r>
    <x v="0"/>
    <x v="9"/>
    <d v="2019-01-28T00:00:00"/>
    <x v="0"/>
    <x v="8"/>
    <x v="0"/>
    <x v="1"/>
    <n v="2330"/>
    <n v="11650"/>
  </r>
  <r>
    <x v="0"/>
    <x v="9"/>
    <d v="2019-01-02T00:00:00"/>
    <x v="1"/>
    <x v="5"/>
    <x v="0"/>
    <x v="1"/>
    <n v="4972"/>
    <n v="24860"/>
  </r>
  <r>
    <x v="0"/>
    <x v="0"/>
    <d v="2019-02-07T00:00:00"/>
    <x v="2"/>
    <x v="4"/>
    <x v="3"/>
    <x v="1"/>
    <n v="4774"/>
    <n v="23870"/>
  </r>
  <r>
    <x v="0"/>
    <x v="9"/>
    <d v="2019-01-08T00:00:00"/>
    <x v="2"/>
    <x v="7"/>
    <x v="0"/>
    <x v="1"/>
    <n v="3157"/>
    <n v="15785"/>
  </r>
  <r>
    <x v="0"/>
    <x v="11"/>
    <d v="2019-08-17T00:00:00"/>
    <x v="0"/>
    <x v="0"/>
    <x v="5"/>
    <x v="2"/>
    <n v="3572"/>
    <n v="178600"/>
  </r>
  <r>
    <x v="0"/>
    <x v="9"/>
    <d v="2019-01-13T00:00:00"/>
    <x v="0"/>
    <x v="9"/>
    <x v="1"/>
    <x v="1"/>
    <n v="1441"/>
    <n v="7205"/>
  </r>
  <r>
    <x v="0"/>
    <x v="5"/>
    <d v="2019-12-11T00:00:00"/>
    <x v="1"/>
    <x v="8"/>
    <x v="1"/>
    <x v="1"/>
    <n v="2840"/>
    <n v="14200"/>
  </r>
  <r>
    <x v="0"/>
    <x v="11"/>
    <d v="2019-08-11T00:00:00"/>
    <x v="1"/>
    <x v="3"/>
    <x v="2"/>
    <x v="2"/>
    <n v="3744"/>
    <n v="187200"/>
  </r>
  <r>
    <x v="0"/>
    <x v="3"/>
    <d v="2019-04-30T00:00:00"/>
    <x v="1"/>
    <x v="7"/>
    <x v="0"/>
    <x v="3"/>
    <n v="2035"/>
    <n v="101750"/>
  </r>
  <r>
    <x v="0"/>
    <x v="0"/>
    <d v="2019-02-04T00:00:00"/>
    <x v="1"/>
    <x v="2"/>
    <x v="0"/>
    <x v="2"/>
    <n v="4783"/>
    <n v="239150"/>
  </r>
  <r>
    <x v="0"/>
    <x v="0"/>
    <d v="2019-02-14T00:00:00"/>
    <x v="1"/>
    <x v="1"/>
    <x v="3"/>
    <x v="1"/>
    <n v="642"/>
    <n v="3210"/>
  </r>
  <r>
    <x v="0"/>
    <x v="6"/>
    <d v="2019-10-17T00:00:00"/>
    <x v="1"/>
    <x v="2"/>
    <x v="3"/>
    <x v="1"/>
    <n v="4431"/>
    <n v="22155"/>
  </r>
  <r>
    <x v="0"/>
    <x v="8"/>
    <d v="2019-05-09T00:00:00"/>
    <x v="2"/>
    <x v="6"/>
    <x v="5"/>
    <x v="1"/>
    <n v="1254"/>
    <n v="6270"/>
  </r>
  <r>
    <x v="0"/>
    <x v="5"/>
    <d v="2019-12-14T00:00:00"/>
    <x v="0"/>
    <x v="5"/>
    <x v="0"/>
    <x v="3"/>
    <n v="3635"/>
    <n v="181750"/>
  </r>
  <r>
    <x v="0"/>
    <x v="7"/>
    <d v="2019-09-10T00:00:00"/>
    <x v="1"/>
    <x v="1"/>
    <x v="1"/>
    <x v="0"/>
    <n v="2489"/>
    <n v="149340"/>
  </r>
  <r>
    <x v="0"/>
    <x v="2"/>
    <d v="2019-07-12T00:00:00"/>
    <x v="2"/>
    <x v="7"/>
    <x v="2"/>
    <x v="0"/>
    <n v="1950"/>
    <n v="117000"/>
  </r>
  <r>
    <x v="0"/>
    <x v="4"/>
    <d v="2019-11-26T00:00:00"/>
    <x v="2"/>
    <x v="5"/>
    <x v="5"/>
    <x v="1"/>
    <n v="3538"/>
    <n v="17690"/>
  </r>
  <r>
    <x v="0"/>
    <x v="11"/>
    <d v="2019-08-12T00:00:00"/>
    <x v="2"/>
    <x v="8"/>
    <x v="1"/>
    <x v="3"/>
    <n v="3431"/>
    <n v="171550"/>
  </r>
  <r>
    <x v="0"/>
    <x v="0"/>
    <d v="2019-02-07T00:00:00"/>
    <x v="2"/>
    <x v="7"/>
    <x v="1"/>
    <x v="3"/>
    <n v="1134"/>
    <n v="56700"/>
  </r>
  <r>
    <x v="0"/>
    <x v="7"/>
    <d v="2019-09-30T00:00:00"/>
    <x v="0"/>
    <x v="8"/>
    <x v="2"/>
    <x v="3"/>
    <n v="2574"/>
    <n v="128700"/>
  </r>
  <r>
    <x v="0"/>
    <x v="7"/>
    <d v="2019-09-01T00:00:00"/>
    <x v="0"/>
    <x v="1"/>
    <x v="0"/>
    <x v="2"/>
    <n v="890"/>
    <n v="44500"/>
  </r>
  <r>
    <x v="0"/>
    <x v="1"/>
    <d v="2019-06-05T00:00:00"/>
    <x v="1"/>
    <x v="5"/>
    <x v="0"/>
    <x v="1"/>
    <n v="3537"/>
    <n v="17685"/>
  </r>
  <r>
    <x v="0"/>
    <x v="1"/>
    <d v="2019-06-23T00:00:00"/>
    <x v="0"/>
    <x v="8"/>
    <x v="0"/>
    <x v="1"/>
    <n v="3103"/>
    <n v="15515"/>
  </r>
  <r>
    <x v="0"/>
    <x v="8"/>
    <d v="2019-05-04T00:00:00"/>
    <x v="0"/>
    <x v="2"/>
    <x v="0"/>
    <x v="1"/>
    <n v="3937"/>
    <n v="19685"/>
  </r>
  <r>
    <x v="0"/>
    <x v="10"/>
    <d v="2019-03-25T00:00:00"/>
    <x v="0"/>
    <x v="0"/>
    <x v="0"/>
    <x v="1"/>
    <n v="3208"/>
    <n v="16040"/>
  </r>
  <r>
    <x v="0"/>
    <x v="2"/>
    <d v="2019-07-16T00:00:00"/>
    <x v="0"/>
    <x v="8"/>
    <x v="0"/>
    <x v="1"/>
    <n v="1432"/>
    <n v="7160"/>
  </r>
  <r>
    <x v="0"/>
    <x v="10"/>
    <d v="2019-03-03T00:00:00"/>
    <x v="0"/>
    <x v="2"/>
    <x v="3"/>
    <x v="1"/>
    <n v="2206"/>
    <n v="11030"/>
  </r>
  <r>
    <x v="0"/>
    <x v="0"/>
    <d v="2019-02-11T00:00:00"/>
    <x v="0"/>
    <x v="0"/>
    <x v="0"/>
    <x v="1"/>
    <n v="597"/>
    <n v="2985"/>
  </r>
  <r>
    <x v="0"/>
    <x v="1"/>
    <d v="2019-06-03T00:00:00"/>
    <x v="1"/>
    <x v="1"/>
    <x v="2"/>
    <x v="2"/>
    <n v="1029"/>
    <n v="51450"/>
  </r>
  <r>
    <x v="0"/>
    <x v="6"/>
    <d v="2019-10-30T00:00:00"/>
    <x v="1"/>
    <x v="4"/>
    <x v="0"/>
    <x v="3"/>
    <n v="2589"/>
    <n v="129450"/>
  </r>
  <r>
    <x v="0"/>
    <x v="6"/>
    <d v="2019-10-04T00:00:00"/>
    <x v="1"/>
    <x v="0"/>
    <x v="0"/>
    <x v="2"/>
    <n v="4098"/>
    <n v="204900"/>
  </r>
  <r>
    <x v="0"/>
    <x v="7"/>
    <d v="2019-09-10T00:00:00"/>
    <x v="1"/>
    <x v="8"/>
    <x v="3"/>
    <x v="1"/>
    <n v="4338"/>
    <n v="21690"/>
  </r>
  <r>
    <x v="0"/>
    <x v="2"/>
    <d v="2019-07-15T00:00:00"/>
    <x v="1"/>
    <x v="3"/>
    <x v="3"/>
    <x v="1"/>
    <n v="2657"/>
    <n v="13285"/>
  </r>
  <r>
    <x v="0"/>
    <x v="6"/>
    <d v="2019-10-02T00:00:00"/>
    <x v="2"/>
    <x v="6"/>
    <x v="5"/>
    <x v="1"/>
    <n v="2557"/>
    <n v="12785"/>
  </r>
  <r>
    <x v="0"/>
    <x v="0"/>
    <d v="2019-02-03T00:00:00"/>
    <x v="0"/>
    <x v="3"/>
    <x v="0"/>
    <x v="3"/>
    <n v="4534"/>
    <n v="226700"/>
  </r>
  <r>
    <x v="0"/>
    <x v="4"/>
    <d v="2019-11-21T00:00:00"/>
    <x v="1"/>
    <x v="2"/>
    <x v="1"/>
    <x v="0"/>
    <n v="3342"/>
    <n v="200520"/>
  </r>
  <r>
    <x v="0"/>
    <x v="9"/>
    <d v="2019-01-20T00:00:00"/>
    <x v="2"/>
    <x v="1"/>
    <x v="2"/>
    <x v="0"/>
    <n v="4093"/>
    <n v="245580"/>
  </r>
  <r>
    <x v="0"/>
    <x v="11"/>
    <d v="2019-08-24T00:00:00"/>
    <x v="2"/>
    <x v="9"/>
    <x v="5"/>
    <x v="1"/>
    <n v="1094"/>
    <n v="5470"/>
  </r>
  <r>
    <x v="0"/>
    <x v="4"/>
    <d v="2019-11-24T00:00:00"/>
    <x v="2"/>
    <x v="8"/>
    <x v="1"/>
    <x v="3"/>
    <n v="4107"/>
    <n v="205350"/>
  </r>
  <r>
    <x v="0"/>
    <x v="7"/>
    <d v="2019-09-17T00:00:00"/>
    <x v="2"/>
    <x v="6"/>
    <x v="1"/>
    <x v="3"/>
    <n v="1623"/>
    <n v="81150"/>
  </r>
  <r>
    <x v="0"/>
    <x v="6"/>
    <d v="2019-10-24T00:00:00"/>
    <x v="0"/>
    <x v="1"/>
    <x v="2"/>
    <x v="3"/>
    <n v="523"/>
    <n v="26150"/>
  </r>
  <r>
    <x v="0"/>
    <x v="0"/>
    <d v="2019-02-11T00:00:00"/>
    <x v="0"/>
    <x v="0"/>
    <x v="0"/>
    <x v="2"/>
    <n v="3803"/>
    <n v="190150"/>
  </r>
  <r>
    <x v="0"/>
    <x v="1"/>
    <d v="2019-06-04T00:00:00"/>
    <x v="1"/>
    <x v="0"/>
    <x v="0"/>
    <x v="4"/>
    <n v="1662"/>
    <n v="83100"/>
  </r>
  <r>
    <x v="0"/>
    <x v="2"/>
    <d v="2019-07-04T00:00:00"/>
    <x v="0"/>
    <x v="0"/>
    <x v="0"/>
    <x v="1"/>
    <n v="4711"/>
    <n v="23555"/>
  </r>
  <r>
    <x v="0"/>
    <x v="6"/>
    <d v="2019-10-21T00:00:00"/>
    <x v="0"/>
    <x v="9"/>
    <x v="0"/>
    <x v="1"/>
    <n v="1355"/>
    <n v="6775"/>
  </r>
  <r>
    <x v="0"/>
    <x v="6"/>
    <d v="2019-10-02T00:00:00"/>
    <x v="0"/>
    <x v="0"/>
    <x v="0"/>
    <x v="1"/>
    <n v="1479"/>
    <n v="7395"/>
  </r>
  <r>
    <x v="0"/>
    <x v="1"/>
    <d v="2019-06-05T00:00:00"/>
    <x v="0"/>
    <x v="8"/>
    <x v="0"/>
    <x v="1"/>
    <n v="3765"/>
    <n v="18825"/>
  </r>
  <r>
    <x v="0"/>
    <x v="10"/>
    <d v="2019-03-11T00:00:00"/>
    <x v="0"/>
    <x v="5"/>
    <x v="3"/>
    <x v="1"/>
    <n v="2669"/>
    <n v="13345"/>
  </r>
  <r>
    <x v="0"/>
    <x v="5"/>
    <d v="2019-12-11T00:00:00"/>
    <x v="0"/>
    <x v="6"/>
    <x v="0"/>
    <x v="1"/>
    <n v="3298"/>
    <n v="16490"/>
  </r>
  <r>
    <x v="0"/>
    <x v="11"/>
    <d v="2019-08-29T00:00:00"/>
    <x v="0"/>
    <x v="6"/>
    <x v="5"/>
    <x v="2"/>
    <n v="1160"/>
    <n v="58000"/>
  </r>
  <r>
    <x v="0"/>
    <x v="0"/>
    <d v="2019-02-05T00:00:00"/>
    <x v="0"/>
    <x v="1"/>
    <x v="1"/>
    <x v="4"/>
    <n v="2500"/>
    <n v="125000"/>
  </r>
  <r>
    <x v="0"/>
    <x v="10"/>
    <d v="2019-03-01T00:00:00"/>
    <x v="1"/>
    <x v="6"/>
    <x v="1"/>
    <x v="4"/>
    <n v="1200"/>
    <n v="60000"/>
  </r>
  <r>
    <x v="0"/>
    <x v="8"/>
    <d v="2019-05-04T00:00:00"/>
    <x v="1"/>
    <x v="1"/>
    <x v="2"/>
    <x v="2"/>
    <n v="3776"/>
    <n v="188800"/>
  </r>
  <r>
    <x v="0"/>
    <x v="8"/>
    <d v="2019-05-03T00:00:00"/>
    <x v="1"/>
    <x v="8"/>
    <x v="0"/>
    <x v="3"/>
    <n v="4754"/>
    <n v="237700"/>
  </r>
  <r>
    <x v="0"/>
    <x v="8"/>
    <d v="2019-05-24T00:00:00"/>
    <x v="1"/>
    <x v="5"/>
    <x v="0"/>
    <x v="2"/>
    <n v="4047"/>
    <n v="202350"/>
  </r>
  <r>
    <x v="0"/>
    <x v="5"/>
    <d v="2019-12-04T00:00:00"/>
    <x v="1"/>
    <x v="7"/>
    <x v="3"/>
    <x v="1"/>
    <n v="3304"/>
    <n v="16520"/>
  </r>
  <r>
    <x v="0"/>
    <x v="9"/>
    <d v="2019-01-04T00:00:00"/>
    <x v="1"/>
    <x v="4"/>
    <x v="3"/>
    <x v="1"/>
    <n v="3276"/>
    <n v="16380"/>
  </r>
  <r>
    <x v="0"/>
    <x v="8"/>
    <d v="2019-05-30T00:00:00"/>
    <x v="2"/>
    <x v="3"/>
    <x v="5"/>
    <x v="1"/>
    <n v="1696"/>
    <n v="8480"/>
  </r>
  <r>
    <x v="0"/>
    <x v="11"/>
    <d v="2019-08-14T00:00:00"/>
    <x v="0"/>
    <x v="7"/>
    <x v="0"/>
    <x v="3"/>
    <n v="1594"/>
    <n v="79700"/>
  </r>
  <r>
    <x v="0"/>
    <x v="6"/>
    <d v="2019-10-23T00:00:00"/>
    <x v="1"/>
    <x v="7"/>
    <x v="1"/>
    <x v="0"/>
    <n v="2283"/>
    <n v="136980"/>
  </r>
  <r>
    <x v="0"/>
    <x v="5"/>
    <d v="2019-12-05T00:00:00"/>
    <x v="2"/>
    <x v="2"/>
    <x v="2"/>
    <x v="0"/>
    <n v="1462"/>
    <n v="87720"/>
  </r>
  <r>
    <x v="0"/>
    <x v="6"/>
    <d v="2019-10-10T00:00:00"/>
    <x v="2"/>
    <x v="4"/>
    <x v="5"/>
    <x v="1"/>
    <n v="4622"/>
    <n v="23110"/>
  </r>
  <r>
    <x v="0"/>
    <x v="8"/>
    <d v="2019-05-21T00:00:00"/>
    <x v="2"/>
    <x v="5"/>
    <x v="1"/>
    <x v="3"/>
    <n v="3764"/>
    <n v="188200"/>
  </r>
  <r>
    <x v="0"/>
    <x v="10"/>
    <d v="2019-03-21T00:00:00"/>
    <x v="2"/>
    <x v="0"/>
    <x v="1"/>
    <x v="3"/>
    <n v="3543"/>
    <n v="177150"/>
  </r>
  <r>
    <x v="0"/>
    <x v="2"/>
    <d v="2019-07-16T00:00:00"/>
    <x v="0"/>
    <x v="0"/>
    <x v="2"/>
    <x v="3"/>
    <n v="4876"/>
    <n v="243800"/>
  </r>
  <r>
    <x v="0"/>
    <x v="5"/>
    <d v="2019-12-17T00:00:00"/>
    <x v="0"/>
    <x v="3"/>
    <x v="0"/>
    <x v="2"/>
    <n v="3678"/>
    <n v="183900"/>
  </r>
  <r>
    <x v="0"/>
    <x v="7"/>
    <d v="2019-09-03T00:00:00"/>
    <x v="1"/>
    <x v="0"/>
    <x v="0"/>
    <x v="1"/>
    <n v="3569"/>
    <n v="17845"/>
  </r>
  <r>
    <x v="0"/>
    <x v="5"/>
    <d v="2019-12-29T00:00:00"/>
    <x v="0"/>
    <x v="4"/>
    <x v="0"/>
    <x v="1"/>
    <n v="4054"/>
    <n v="20270"/>
  </r>
  <r>
    <x v="0"/>
    <x v="3"/>
    <d v="2019-04-11T00:00:00"/>
    <x v="0"/>
    <x v="8"/>
    <x v="0"/>
    <x v="1"/>
    <n v="1115"/>
    <n v="5575"/>
  </r>
  <r>
    <x v="0"/>
    <x v="2"/>
    <d v="2019-07-06T00:00:00"/>
    <x v="0"/>
    <x v="7"/>
    <x v="0"/>
    <x v="1"/>
    <n v="3009"/>
    <n v="15045"/>
  </r>
  <r>
    <x v="0"/>
    <x v="6"/>
    <d v="2019-10-19T00:00:00"/>
    <x v="2"/>
    <x v="0"/>
    <x v="0"/>
    <x v="0"/>
    <n v="4270"/>
    <n v="256200"/>
  </r>
  <r>
    <x v="0"/>
    <x v="10"/>
    <d v="2019-03-12T00:00:00"/>
    <x v="0"/>
    <x v="1"/>
    <x v="3"/>
    <x v="0"/>
    <n v="3578"/>
    <n v="214680"/>
  </r>
  <r>
    <x v="0"/>
    <x v="10"/>
    <d v="2019-03-02T00:00:00"/>
    <x v="1"/>
    <x v="9"/>
    <x v="0"/>
    <x v="1"/>
    <n v="1488"/>
    <n v="7440"/>
  </r>
  <r>
    <x v="1"/>
    <x v="2"/>
    <d v="2020-07-09T00:00:00"/>
    <x v="2"/>
    <x v="3"/>
    <x v="0"/>
    <x v="2"/>
    <n v="2318"/>
    <n v="115900"/>
  </r>
  <r>
    <x v="1"/>
    <x v="2"/>
    <d v="2020-07-03T00:00:00"/>
    <x v="2"/>
    <x v="3"/>
    <x v="0"/>
    <x v="1"/>
    <n v="3356"/>
    <n v="16780"/>
  </r>
  <r>
    <x v="1"/>
    <x v="9"/>
    <d v="2020-01-18T00:00:00"/>
    <x v="2"/>
    <x v="8"/>
    <x v="0"/>
    <x v="3"/>
    <n v="2886"/>
    <n v="144300"/>
  </r>
  <r>
    <x v="1"/>
    <x v="5"/>
    <d v="2020-12-27T00:00:00"/>
    <x v="2"/>
    <x v="0"/>
    <x v="0"/>
    <x v="0"/>
    <n v="4944"/>
    <n v="296640"/>
  </r>
  <r>
    <x v="1"/>
    <x v="0"/>
    <d v="2020-02-16T00:00:00"/>
    <x v="0"/>
    <x v="5"/>
    <x v="2"/>
    <x v="0"/>
    <n v="3193"/>
    <n v="191580"/>
  </r>
  <r>
    <x v="1"/>
    <x v="11"/>
    <d v="2020-08-18T00:00:00"/>
    <x v="0"/>
    <x v="9"/>
    <x v="5"/>
    <x v="1"/>
    <n v="4489"/>
    <n v="22445"/>
  </r>
  <r>
    <x v="1"/>
    <x v="6"/>
    <d v="2020-10-10T00:00:00"/>
    <x v="0"/>
    <x v="9"/>
    <x v="1"/>
    <x v="3"/>
    <n v="3026"/>
    <n v="151300"/>
  </r>
  <r>
    <x v="1"/>
    <x v="2"/>
    <d v="2020-07-29T00:00:00"/>
    <x v="0"/>
    <x v="9"/>
    <x v="1"/>
    <x v="3"/>
    <n v="4129"/>
    <n v="206450"/>
  </r>
  <r>
    <x v="1"/>
    <x v="6"/>
    <d v="2020-10-06T00:00:00"/>
    <x v="0"/>
    <x v="0"/>
    <x v="2"/>
    <x v="3"/>
    <n v="706"/>
    <n v="35300"/>
  </r>
  <r>
    <x v="1"/>
    <x v="5"/>
    <d v="2020-12-18T00:00:00"/>
    <x v="0"/>
    <x v="7"/>
    <x v="0"/>
    <x v="2"/>
    <n v="4458"/>
    <n v="222900"/>
  </r>
  <r>
    <x v="1"/>
    <x v="1"/>
    <d v="2020-06-16T00:00:00"/>
    <x v="0"/>
    <x v="0"/>
    <x v="0"/>
    <x v="1"/>
    <n v="4489"/>
    <n v="22445"/>
  </r>
  <r>
    <x v="1"/>
    <x v="9"/>
    <d v="2020-01-06T00:00:00"/>
    <x v="1"/>
    <x v="1"/>
    <x v="0"/>
    <x v="1"/>
    <n v="2036"/>
    <n v="10180"/>
  </r>
  <r>
    <x v="1"/>
    <x v="3"/>
    <d v="2020-04-30T00:00:00"/>
    <x v="1"/>
    <x v="8"/>
    <x v="0"/>
    <x v="2"/>
    <n v="1178"/>
    <n v="58900"/>
  </r>
  <r>
    <x v="1"/>
    <x v="8"/>
    <d v="2020-05-19T00:00:00"/>
    <x v="1"/>
    <x v="0"/>
    <x v="0"/>
    <x v="3"/>
    <n v="2496"/>
    <n v="124800"/>
  </r>
  <r>
    <x v="1"/>
    <x v="4"/>
    <d v="2020-11-11T00:00:00"/>
    <x v="1"/>
    <x v="3"/>
    <x v="0"/>
    <x v="2"/>
    <n v="1730"/>
    <n v="86500"/>
  </r>
  <r>
    <x v="1"/>
    <x v="4"/>
    <d v="2020-11-05T00:00:00"/>
    <x v="1"/>
    <x v="1"/>
    <x v="0"/>
    <x v="1"/>
    <n v="4027"/>
    <n v="20135"/>
  </r>
  <r>
    <x v="1"/>
    <x v="0"/>
    <d v="2020-02-16T00:00:00"/>
    <x v="1"/>
    <x v="7"/>
    <x v="2"/>
    <x v="1"/>
    <n v="3540"/>
    <n v="17700"/>
  </r>
  <r>
    <x v="1"/>
    <x v="2"/>
    <d v="2020-07-03T00:00:00"/>
    <x v="2"/>
    <x v="8"/>
    <x v="5"/>
    <x v="4"/>
    <n v="2400"/>
    <n v="120000"/>
  </r>
  <r>
    <x v="1"/>
    <x v="7"/>
    <d v="2020-09-16T00:00:00"/>
    <x v="0"/>
    <x v="0"/>
    <x v="1"/>
    <x v="3"/>
    <n v="4030"/>
    <n v="201500"/>
  </r>
  <r>
    <x v="1"/>
    <x v="4"/>
    <d v="2020-11-06T00:00:00"/>
    <x v="1"/>
    <x v="4"/>
    <x v="1"/>
    <x v="0"/>
    <n v="3377"/>
    <n v="202620"/>
  </r>
  <r>
    <x v="1"/>
    <x v="7"/>
    <d v="2020-09-21T00:00:00"/>
    <x v="2"/>
    <x v="4"/>
    <x v="2"/>
    <x v="0"/>
    <n v="3390"/>
    <n v="203400"/>
  </r>
  <r>
    <x v="1"/>
    <x v="9"/>
    <d v="2020-01-29T00:00:00"/>
    <x v="2"/>
    <x v="9"/>
    <x v="0"/>
    <x v="4"/>
    <n v="1200"/>
    <n v="60000"/>
  </r>
  <r>
    <x v="1"/>
    <x v="0"/>
    <d v="2020-02-19T00:00:00"/>
    <x v="2"/>
    <x v="3"/>
    <x v="0"/>
    <x v="3"/>
    <n v="1360"/>
    <n v="68000"/>
  </r>
  <r>
    <x v="1"/>
    <x v="8"/>
    <d v="2020-05-09T00:00:00"/>
    <x v="2"/>
    <x v="8"/>
    <x v="0"/>
    <x v="3"/>
    <n v="2374"/>
    <n v="118700"/>
  </r>
  <r>
    <x v="1"/>
    <x v="7"/>
    <d v="2020-09-17T00:00:00"/>
    <x v="0"/>
    <x v="6"/>
    <x v="0"/>
    <x v="3"/>
    <n v="1252"/>
    <n v="62600"/>
  </r>
  <r>
    <x v="1"/>
    <x v="0"/>
    <d v="2020-02-21T00:00:00"/>
    <x v="0"/>
    <x v="5"/>
    <x v="2"/>
    <x v="2"/>
    <n v="2912"/>
    <n v="145600"/>
  </r>
  <r>
    <x v="1"/>
    <x v="10"/>
    <d v="2020-03-14T00:00:00"/>
    <x v="1"/>
    <x v="8"/>
    <x v="5"/>
    <x v="4"/>
    <n v="1000"/>
    <n v="50000"/>
  </r>
  <r>
    <x v="1"/>
    <x v="2"/>
    <d v="2020-07-09T00:00:00"/>
    <x v="0"/>
    <x v="6"/>
    <x v="1"/>
    <x v="1"/>
    <n v="4489"/>
    <n v="22445"/>
  </r>
  <r>
    <x v="1"/>
    <x v="8"/>
    <d v="2020-05-01T00:00:00"/>
    <x v="0"/>
    <x v="6"/>
    <x v="1"/>
    <x v="1"/>
    <n v="3697"/>
    <n v="18485"/>
  </r>
  <r>
    <x v="1"/>
    <x v="4"/>
    <d v="2020-11-08T00:00:00"/>
    <x v="0"/>
    <x v="7"/>
    <x v="2"/>
    <x v="1"/>
    <n v="2096"/>
    <n v="10480"/>
  </r>
  <r>
    <x v="1"/>
    <x v="11"/>
    <d v="2020-08-14T00:00:00"/>
    <x v="0"/>
    <x v="5"/>
    <x v="0"/>
    <x v="1"/>
    <n v="1334"/>
    <n v="6670"/>
  </r>
  <r>
    <x v="1"/>
    <x v="5"/>
    <d v="2020-12-20T00:00:00"/>
    <x v="2"/>
    <x v="0"/>
    <x v="0"/>
    <x v="1"/>
    <n v="3870"/>
    <n v="19350"/>
  </r>
  <r>
    <x v="1"/>
    <x v="4"/>
    <d v="2020-11-12T00:00:00"/>
    <x v="1"/>
    <x v="6"/>
    <x v="0"/>
    <x v="1"/>
    <n v="3043"/>
    <n v="15215"/>
  </r>
  <r>
    <x v="1"/>
    <x v="4"/>
    <d v="2020-11-26T00:00:00"/>
    <x v="0"/>
    <x v="7"/>
    <x v="0"/>
    <x v="0"/>
    <n v="4501"/>
    <n v="270060"/>
  </r>
  <r>
    <x v="1"/>
    <x v="1"/>
    <d v="2020-06-20T00:00:00"/>
    <x v="2"/>
    <x v="5"/>
    <x v="1"/>
    <x v="0"/>
    <n v="1106"/>
    <n v="66360"/>
  </r>
  <r>
    <x v="1"/>
    <x v="3"/>
    <d v="2020-04-19T00:00:00"/>
    <x v="2"/>
    <x v="7"/>
    <x v="1"/>
    <x v="4"/>
    <n v="987"/>
    <n v="49350"/>
  </r>
  <r>
    <x v="1"/>
    <x v="6"/>
    <d v="2020-10-11T00:00:00"/>
    <x v="2"/>
    <x v="5"/>
    <x v="2"/>
    <x v="2"/>
    <n v="3955"/>
    <n v="197750"/>
  </r>
  <r>
    <x v="1"/>
    <x v="7"/>
    <d v="2020-09-18T00:00:00"/>
    <x v="2"/>
    <x v="5"/>
    <x v="0"/>
    <x v="4"/>
    <n v="1200"/>
    <n v="60000"/>
  </r>
  <r>
    <x v="1"/>
    <x v="1"/>
    <d v="2020-06-04T00:00:00"/>
    <x v="1"/>
    <x v="1"/>
    <x v="0"/>
    <x v="3"/>
    <n v="1886"/>
    <n v="94300"/>
  </r>
  <r>
    <x v="1"/>
    <x v="10"/>
    <d v="2020-03-21T00:00:00"/>
    <x v="1"/>
    <x v="7"/>
    <x v="3"/>
    <x v="0"/>
    <n v="1185"/>
    <n v="71100"/>
  </r>
  <r>
    <x v="1"/>
    <x v="1"/>
    <d v="2020-06-14T00:00:00"/>
    <x v="1"/>
    <x v="1"/>
    <x v="3"/>
    <x v="0"/>
    <n v="3544"/>
    <n v="212640"/>
  </r>
  <r>
    <x v="1"/>
    <x v="4"/>
    <d v="2020-11-05T00:00:00"/>
    <x v="1"/>
    <x v="4"/>
    <x v="5"/>
    <x v="4"/>
    <n v="1200"/>
    <n v="60000"/>
  </r>
  <r>
    <x v="1"/>
    <x v="5"/>
    <d v="2020-12-20T00:00:00"/>
    <x v="1"/>
    <x v="6"/>
    <x v="0"/>
    <x v="3"/>
    <n v="4623"/>
    <n v="231150"/>
  </r>
  <r>
    <x v="1"/>
    <x v="1"/>
    <d v="2020-06-15T00:00:00"/>
    <x v="1"/>
    <x v="1"/>
    <x v="1"/>
    <x v="3"/>
    <n v="2443"/>
    <n v="122150"/>
  </r>
  <r>
    <x v="1"/>
    <x v="0"/>
    <d v="2020-02-16T00:00:00"/>
    <x v="1"/>
    <x v="7"/>
    <x v="2"/>
    <x v="3"/>
    <n v="1333"/>
    <n v="66650"/>
  </r>
  <r>
    <x v="1"/>
    <x v="10"/>
    <d v="2020-03-02T00:00:00"/>
    <x v="1"/>
    <x v="6"/>
    <x v="5"/>
    <x v="2"/>
    <n v="4384"/>
    <n v="219200"/>
  </r>
  <r>
    <x v="1"/>
    <x v="2"/>
    <d v="2020-07-28T00:00:00"/>
    <x v="1"/>
    <x v="4"/>
    <x v="1"/>
    <x v="4"/>
    <n v="2589"/>
    <n v="129450"/>
  </r>
  <r>
    <x v="1"/>
    <x v="4"/>
    <d v="2020-11-24T00:00:00"/>
    <x v="1"/>
    <x v="5"/>
    <x v="1"/>
    <x v="4"/>
    <n v="1200"/>
    <n v="60000"/>
  </r>
  <r>
    <x v="1"/>
    <x v="5"/>
    <d v="2020-12-22T00:00:00"/>
    <x v="1"/>
    <x v="7"/>
    <x v="2"/>
    <x v="2"/>
    <n v="1667"/>
    <n v="83350"/>
  </r>
  <r>
    <x v="1"/>
    <x v="3"/>
    <d v="2020-04-26T00:00:00"/>
    <x v="1"/>
    <x v="4"/>
    <x v="0"/>
    <x v="3"/>
    <n v="1958"/>
    <n v="97900"/>
  </r>
  <r>
    <x v="1"/>
    <x v="10"/>
    <d v="2020-03-16T00:00:00"/>
    <x v="1"/>
    <x v="5"/>
    <x v="1"/>
    <x v="2"/>
    <n v="1600"/>
    <n v="80000"/>
  </r>
  <r>
    <x v="1"/>
    <x v="7"/>
    <d v="2020-09-30T00:00:00"/>
    <x v="1"/>
    <x v="5"/>
    <x v="1"/>
    <x v="4"/>
    <n v="1200"/>
    <n v="60000"/>
  </r>
  <r>
    <x v="1"/>
    <x v="3"/>
    <d v="2020-04-07T00:00:00"/>
    <x v="1"/>
    <x v="5"/>
    <x v="2"/>
    <x v="4"/>
    <n v="3885"/>
    <n v="194250"/>
  </r>
  <r>
    <x v="1"/>
    <x v="7"/>
    <d v="2020-09-04T00:00:00"/>
    <x v="1"/>
    <x v="5"/>
    <x v="0"/>
    <x v="1"/>
    <n v="1766"/>
    <n v="8830"/>
  </r>
  <r>
    <x v="1"/>
    <x v="8"/>
    <d v="2020-05-04T00:00:00"/>
    <x v="1"/>
    <x v="0"/>
    <x v="0"/>
    <x v="3"/>
    <n v="4560"/>
    <n v="228000"/>
  </r>
  <r>
    <x v="1"/>
    <x v="0"/>
    <d v="2020-02-18T00:00:00"/>
    <x v="1"/>
    <x v="1"/>
    <x v="3"/>
    <x v="0"/>
    <n v="2689"/>
    <n v="161340"/>
  </r>
  <r>
    <x v="1"/>
    <x v="7"/>
    <d v="2020-09-01T00:00:00"/>
    <x v="1"/>
    <x v="3"/>
    <x v="3"/>
    <x v="0"/>
    <n v="2672"/>
    <n v="160320"/>
  </r>
  <r>
    <x v="1"/>
    <x v="3"/>
    <d v="2020-04-07T00:00:00"/>
    <x v="1"/>
    <x v="2"/>
    <x v="5"/>
    <x v="1"/>
    <n v="4489"/>
    <n v="22445"/>
  </r>
  <r>
    <x v="1"/>
    <x v="9"/>
    <d v="2020-01-25T00:00:00"/>
    <x v="0"/>
    <x v="7"/>
    <x v="0"/>
    <x v="3"/>
    <n v="4948"/>
    <n v="247400"/>
  </r>
  <r>
    <x v="1"/>
    <x v="0"/>
    <d v="2020-02-25T00:00:00"/>
    <x v="1"/>
    <x v="9"/>
    <x v="1"/>
    <x v="3"/>
    <n v="1334"/>
    <n v="66700"/>
  </r>
  <r>
    <x v="1"/>
    <x v="10"/>
    <d v="2020-03-16T00:00:00"/>
    <x v="1"/>
    <x v="6"/>
    <x v="2"/>
    <x v="3"/>
    <n v="1064"/>
    <n v="53200"/>
  </r>
  <r>
    <x v="1"/>
    <x v="4"/>
    <d v="2020-11-07T00:00:00"/>
    <x v="1"/>
    <x v="5"/>
    <x v="5"/>
    <x v="2"/>
    <n v="2712"/>
    <n v="135600"/>
  </r>
  <r>
    <x v="1"/>
    <x v="7"/>
    <d v="2020-09-11T00:00:00"/>
    <x v="1"/>
    <x v="5"/>
    <x v="1"/>
    <x v="1"/>
    <n v="2216"/>
    <n v="11080"/>
  </r>
  <r>
    <x v="1"/>
    <x v="6"/>
    <d v="2020-10-17T00:00:00"/>
    <x v="1"/>
    <x v="5"/>
    <x v="1"/>
    <x v="1"/>
    <n v="4960"/>
    <n v="24800"/>
  </r>
  <r>
    <x v="1"/>
    <x v="11"/>
    <d v="2020-08-15T00:00:00"/>
    <x v="2"/>
    <x v="1"/>
    <x v="2"/>
    <x v="1"/>
    <n v="4669"/>
    <n v="23345"/>
  </r>
  <r>
    <x v="1"/>
    <x v="3"/>
    <d v="2020-04-28T00:00:00"/>
    <x v="1"/>
    <x v="1"/>
    <x v="0"/>
    <x v="1"/>
    <n v="1658"/>
    <n v="8290"/>
  </r>
  <r>
    <x v="1"/>
    <x v="9"/>
    <d v="2020-01-25T00:00:00"/>
    <x v="1"/>
    <x v="5"/>
    <x v="3"/>
    <x v="1"/>
    <n v="4515"/>
    <n v="22575"/>
  </r>
  <r>
    <x v="1"/>
    <x v="9"/>
    <d v="2020-01-06T00:00:00"/>
    <x v="1"/>
    <x v="5"/>
    <x v="3"/>
    <x v="1"/>
    <n v="1365"/>
    <n v="6825"/>
  </r>
  <r>
    <x v="1"/>
    <x v="7"/>
    <d v="2020-09-12T00:00:00"/>
    <x v="1"/>
    <x v="1"/>
    <x v="1"/>
    <x v="3"/>
    <n v="3359"/>
    <n v="167950"/>
  </r>
  <r>
    <x v="1"/>
    <x v="2"/>
    <d v="2020-07-04T00:00:00"/>
    <x v="1"/>
    <x v="7"/>
    <x v="2"/>
    <x v="3"/>
    <n v="3778"/>
    <n v="188900"/>
  </r>
  <r>
    <x v="1"/>
    <x v="1"/>
    <d v="2020-06-12T00:00:00"/>
    <x v="1"/>
    <x v="6"/>
    <x v="5"/>
    <x v="2"/>
    <n v="1008"/>
    <n v="50400"/>
  </r>
  <r>
    <x v="1"/>
    <x v="11"/>
    <d v="2020-08-23T00:00:00"/>
    <x v="1"/>
    <x v="4"/>
    <x v="1"/>
    <x v="1"/>
    <n v="2735"/>
    <n v="13675"/>
  </r>
  <r>
    <x v="1"/>
    <x v="6"/>
    <d v="2020-10-12T00:00:00"/>
    <x v="1"/>
    <x v="5"/>
    <x v="1"/>
    <x v="1"/>
    <n v="4035"/>
    <n v="20175"/>
  </r>
  <r>
    <x v="1"/>
    <x v="2"/>
    <d v="2020-07-28T00:00:00"/>
    <x v="1"/>
    <x v="7"/>
    <x v="2"/>
    <x v="2"/>
    <n v="2576"/>
    <n v="128800"/>
  </r>
  <r>
    <x v="1"/>
    <x v="2"/>
    <d v="2020-07-09T00:00:00"/>
    <x v="1"/>
    <x v="4"/>
    <x v="0"/>
    <x v="3"/>
    <n v="2218"/>
    <n v="110900"/>
  </r>
  <r>
    <x v="1"/>
    <x v="6"/>
    <d v="2020-10-07T00:00:00"/>
    <x v="2"/>
    <x v="0"/>
    <x v="1"/>
    <x v="2"/>
    <n v="4417"/>
    <n v="220850"/>
  </r>
  <r>
    <x v="1"/>
    <x v="1"/>
    <d v="2020-06-10T00:00:00"/>
    <x v="2"/>
    <x v="7"/>
    <x v="1"/>
    <x v="1"/>
    <n v="4922"/>
    <n v="24610"/>
  </r>
  <r>
    <x v="1"/>
    <x v="4"/>
    <d v="2020-11-20T00:00:00"/>
    <x v="1"/>
    <x v="5"/>
    <x v="2"/>
    <x v="1"/>
    <n v="4991"/>
    <n v="24955"/>
  </r>
  <r>
    <x v="1"/>
    <x v="11"/>
    <d v="2020-08-07T00:00:00"/>
    <x v="1"/>
    <x v="5"/>
    <x v="0"/>
    <x v="1"/>
    <n v="4489"/>
    <n v="22445"/>
  </r>
  <r>
    <x v="1"/>
    <x v="1"/>
    <d v="2020-06-05T00:00:00"/>
    <x v="1"/>
    <x v="0"/>
    <x v="0"/>
    <x v="3"/>
    <n v="615"/>
    <n v="30750"/>
  </r>
  <r>
    <x v="1"/>
    <x v="3"/>
    <d v="2020-04-21T00:00:00"/>
    <x v="1"/>
    <x v="1"/>
    <x v="3"/>
    <x v="0"/>
    <n v="4687"/>
    <n v="281220"/>
  </r>
  <r>
    <x v="1"/>
    <x v="3"/>
    <d v="2020-04-27T00:00:00"/>
    <x v="1"/>
    <x v="3"/>
    <x v="3"/>
    <x v="0"/>
    <n v="2247"/>
    <n v="134820"/>
  </r>
  <r>
    <x v="1"/>
    <x v="10"/>
    <d v="2020-03-05T00:00:00"/>
    <x v="1"/>
    <x v="2"/>
    <x v="5"/>
    <x v="4"/>
    <n v="4936"/>
    <n v="246800"/>
  </r>
  <r>
    <x v="1"/>
    <x v="4"/>
    <d v="2020-11-24T00:00:00"/>
    <x v="2"/>
    <x v="9"/>
    <x v="0"/>
    <x v="3"/>
    <n v="1100"/>
    <n v="55000"/>
  </r>
  <r>
    <x v="1"/>
    <x v="10"/>
    <d v="2020-03-29T00:00:00"/>
    <x v="0"/>
    <x v="9"/>
    <x v="1"/>
    <x v="3"/>
    <n v="775"/>
    <n v="38750"/>
  </r>
  <r>
    <x v="1"/>
    <x v="11"/>
    <d v="2020-08-27T00:00:00"/>
    <x v="1"/>
    <x v="6"/>
    <x v="2"/>
    <x v="3"/>
    <n v="2898"/>
    <n v="144900"/>
  </r>
  <r>
    <x v="1"/>
    <x v="1"/>
    <d v="2020-06-10T00:00:00"/>
    <x v="2"/>
    <x v="7"/>
    <x v="5"/>
    <x v="2"/>
    <n v="4909"/>
    <n v="245450"/>
  </r>
  <r>
    <x v="1"/>
    <x v="5"/>
    <d v="2020-12-24T00:00:00"/>
    <x v="2"/>
    <x v="6"/>
    <x v="1"/>
    <x v="4"/>
    <n v="3125"/>
    <n v="156250"/>
  </r>
  <r>
    <x v="1"/>
    <x v="3"/>
    <d v="2020-04-26T00:00:00"/>
    <x v="2"/>
    <x v="5"/>
    <x v="1"/>
    <x v="1"/>
    <n v="2795"/>
    <n v="13975"/>
  </r>
  <r>
    <x v="1"/>
    <x v="6"/>
    <d v="2020-10-08T00:00:00"/>
    <x v="0"/>
    <x v="1"/>
    <x v="2"/>
    <x v="1"/>
    <n v="2954"/>
    <n v="14770"/>
  </r>
  <r>
    <x v="1"/>
    <x v="8"/>
    <d v="2020-05-23T00:00:00"/>
    <x v="0"/>
    <x v="1"/>
    <x v="0"/>
    <x v="1"/>
    <n v="4931"/>
    <n v="24655"/>
  </r>
  <r>
    <x v="1"/>
    <x v="4"/>
    <d v="2020-11-29T00:00:00"/>
    <x v="2"/>
    <x v="0"/>
    <x v="3"/>
    <x v="1"/>
    <n v="4429"/>
    <n v="22145"/>
  </r>
  <r>
    <x v="1"/>
    <x v="3"/>
    <d v="2020-04-23T00:00:00"/>
    <x v="1"/>
    <x v="8"/>
    <x v="3"/>
    <x v="1"/>
    <n v="1807"/>
    <n v="9035"/>
  </r>
  <r>
    <x v="1"/>
    <x v="7"/>
    <d v="2020-09-14T00:00:00"/>
    <x v="0"/>
    <x v="0"/>
    <x v="0"/>
    <x v="3"/>
    <n v="3130"/>
    <n v="156500"/>
  </r>
  <r>
    <x v="1"/>
    <x v="0"/>
    <d v="2020-02-25T00:00:00"/>
    <x v="0"/>
    <x v="1"/>
    <x v="3"/>
    <x v="0"/>
    <n v="1645"/>
    <n v="98700"/>
  </r>
  <r>
    <x v="1"/>
    <x v="5"/>
    <d v="2020-12-04T00:00:00"/>
    <x v="0"/>
    <x v="3"/>
    <x v="3"/>
    <x v="0"/>
    <n v="1355"/>
    <n v="81300"/>
  </r>
  <r>
    <x v="1"/>
    <x v="1"/>
    <d v="2020-06-11T00:00:00"/>
    <x v="0"/>
    <x v="2"/>
    <x v="5"/>
    <x v="4"/>
    <n v="4881"/>
    <n v="244050"/>
  </r>
  <r>
    <x v="1"/>
    <x v="2"/>
    <d v="2020-07-21T00:00:00"/>
    <x v="1"/>
    <x v="9"/>
    <x v="0"/>
    <x v="3"/>
    <n v="1203"/>
    <n v="60150"/>
  </r>
  <r>
    <x v="1"/>
    <x v="3"/>
    <d v="2020-04-10T00:00:00"/>
    <x v="0"/>
    <x v="9"/>
    <x v="1"/>
    <x v="3"/>
    <n v="1674"/>
    <n v="83700"/>
  </r>
  <r>
    <x v="1"/>
    <x v="5"/>
    <d v="2020-12-21T00:00:00"/>
    <x v="1"/>
    <x v="6"/>
    <x v="2"/>
    <x v="3"/>
    <n v="4634"/>
    <n v="231700"/>
  </r>
  <r>
    <x v="1"/>
    <x v="2"/>
    <d v="2020-07-05T00:00:00"/>
    <x v="2"/>
    <x v="7"/>
    <x v="5"/>
    <x v="2"/>
    <n v="634"/>
    <n v="31700"/>
  </r>
  <r>
    <x v="1"/>
    <x v="5"/>
    <d v="2020-12-24T00:00:00"/>
    <x v="2"/>
    <x v="6"/>
    <x v="1"/>
    <x v="4"/>
    <n v="1484"/>
    <n v="74200"/>
  </r>
  <r>
    <x v="1"/>
    <x v="1"/>
    <d v="2020-06-21T00:00:00"/>
    <x v="2"/>
    <x v="5"/>
    <x v="1"/>
    <x v="1"/>
    <n v="3959"/>
    <n v="19795"/>
  </r>
  <r>
    <x v="1"/>
    <x v="8"/>
    <d v="2020-05-16T00:00:00"/>
    <x v="0"/>
    <x v="1"/>
    <x v="2"/>
    <x v="1"/>
    <n v="1880"/>
    <n v="9400"/>
  </r>
  <r>
    <x v="1"/>
    <x v="7"/>
    <d v="2020-09-10T00:00:00"/>
    <x v="1"/>
    <x v="1"/>
    <x v="0"/>
    <x v="1"/>
    <n v="1543"/>
    <n v="7715"/>
  </r>
  <r>
    <x v="1"/>
    <x v="10"/>
    <d v="2020-03-09T00:00:00"/>
    <x v="2"/>
    <x v="0"/>
    <x v="3"/>
    <x v="1"/>
    <n v="1308"/>
    <n v="6540"/>
  </r>
  <r>
    <x v="1"/>
    <x v="1"/>
    <d v="2020-06-10T00:00:00"/>
    <x v="2"/>
    <x v="8"/>
    <x v="3"/>
    <x v="1"/>
    <n v="3013"/>
    <n v="15065"/>
  </r>
  <r>
    <x v="1"/>
    <x v="5"/>
    <d v="2020-12-05T00:00:00"/>
    <x v="0"/>
    <x v="1"/>
    <x v="1"/>
    <x v="3"/>
    <n v="1778"/>
    <n v="88900"/>
  </r>
  <r>
    <x v="1"/>
    <x v="5"/>
    <d v="2020-12-28T00:00:00"/>
    <x v="0"/>
    <x v="7"/>
    <x v="2"/>
    <x v="3"/>
    <n v="4471"/>
    <n v="223550"/>
  </r>
  <r>
    <x v="1"/>
    <x v="6"/>
    <d v="2020-10-08T00:00:00"/>
    <x v="0"/>
    <x v="6"/>
    <x v="5"/>
    <x v="2"/>
    <n v="2178"/>
    <n v="108900"/>
  </r>
  <r>
    <x v="1"/>
    <x v="4"/>
    <d v="2020-11-06T00:00:00"/>
    <x v="0"/>
    <x v="4"/>
    <x v="1"/>
    <x v="4"/>
    <n v="2446"/>
    <n v="122300"/>
  </r>
  <r>
    <x v="1"/>
    <x v="8"/>
    <d v="2020-05-25T00:00:00"/>
    <x v="2"/>
    <x v="1"/>
    <x v="1"/>
    <x v="4"/>
    <n v="1500"/>
    <n v="75000"/>
  </r>
  <r>
    <x v="1"/>
    <x v="10"/>
    <d v="2020-03-25T00:00:00"/>
    <x v="0"/>
    <x v="7"/>
    <x v="2"/>
    <x v="2"/>
    <n v="2636"/>
    <n v="131800"/>
  </r>
  <r>
    <x v="1"/>
    <x v="9"/>
    <d v="2020-01-17T00:00:00"/>
    <x v="1"/>
    <x v="4"/>
    <x v="0"/>
    <x v="3"/>
    <n v="4650"/>
    <n v="232500"/>
  </r>
  <r>
    <x v="1"/>
    <x v="2"/>
    <d v="2020-07-29T00:00:00"/>
    <x v="2"/>
    <x v="5"/>
    <x v="1"/>
    <x v="2"/>
    <n v="614"/>
    <n v="30700"/>
  </r>
  <r>
    <x v="1"/>
    <x v="11"/>
    <d v="2020-08-28T00:00:00"/>
    <x v="2"/>
    <x v="1"/>
    <x v="1"/>
    <x v="4"/>
    <n v="2000"/>
    <n v="100000"/>
  </r>
  <r>
    <x v="1"/>
    <x v="11"/>
    <d v="2020-08-07T00:00:00"/>
    <x v="2"/>
    <x v="7"/>
    <x v="2"/>
    <x v="4"/>
    <n v="1200"/>
    <n v="60000"/>
  </r>
  <r>
    <x v="1"/>
    <x v="4"/>
    <d v="2020-11-15T00:00:00"/>
    <x v="2"/>
    <x v="8"/>
    <x v="0"/>
    <x v="4"/>
    <n v="1200"/>
    <n v="60000"/>
  </r>
  <r>
    <x v="1"/>
    <x v="6"/>
    <d v="2020-10-10T00:00:00"/>
    <x v="0"/>
    <x v="0"/>
    <x v="0"/>
    <x v="3"/>
    <n v="4355"/>
    <n v="217750"/>
  </r>
  <r>
    <x v="1"/>
    <x v="9"/>
    <d v="2020-01-11T00:00:00"/>
    <x v="0"/>
    <x v="1"/>
    <x v="3"/>
    <x v="0"/>
    <n v="4531"/>
    <n v="271860"/>
  </r>
  <r>
    <x v="1"/>
    <x v="10"/>
    <d v="2020-03-04T00:00:00"/>
    <x v="0"/>
    <x v="3"/>
    <x v="3"/>
    <x v="0"/>
    <n v="3102"/>
    <n v="186120"/>
  </r>
  <r>
    <x v="1"/>
    <x v="0"/>
    <d v="2020-02-15T00:00:00"/>
    <x v="0"/>
    <x v="2"/>
    <x v="5"/>
    <x v="4"/>
    <n v="1800"/>
    <n v="90000"/>
  </r>
  <r>
    <x v="1"/>
    <x v="2"/>
    <d v="2020-07-08T00:00:00"/>
    <x v="2"/>
    <x v="9"/>
    <x v="0"/>
    <x v="3"/>
    <n v="1516"/>
    <n v="75800"/>
  </r>
  <r>
    <x v="1"/>
    <x v="6"/>
    <d v="2020-10-10T00:00:00"/>
    <x v="0"/>
    <x v="9"/>
    <x v="1"/>
    <x v="3"/>
    <n v="1289"/>
    <n v="64450"/>
  </r>
  <r>
    <x v="1"/>
    <x v="11"/>
    <d v="2020-08-14T00:00:00"/>
    <x v="1"/>
    <x v="6"/>
    <x v="2"/>
    <x v="3"/>
    <n v="1697"/>
    <n v="84850"/>
  </r>
  <r>
    <x v="1"/>
    <x v="6"/>
    <d v="2020-10-02T00:00:00"/>
    <x v="2"/>
    <x v="7"/>
    <x v="5"/>
    <x v="2"/>
    <n v="3215"/>
    <n v="160750"/>
  </r>
  <r>
    <x v="1"/>
    <x v="6"/>
    <d v="2020-10-17T00:00:00"/>
    <x v="2"/>
    <x v="6"/>
    <x v="1"/>
    <x v="4"/>
    <n v="1000"/>
    <n v="50000"/>
  </r>
  <r>
    <x v="1"/>
    <x v="4"/>
    <d v="2020-11-24T00:00:00"/>
    <x v="2"/>
    <x v="5"/>
    <x v="1"/>
    <x v="1"/>
    <n v="4489"/>
    <n v="22445"/>
  </r>
  <r>
    <x v="1"/>
    <x v="10"/>
    <d v="2020-03-25T00:00:00"/>
    <x v="0"/>
    <x v="1"/>
    <x v="2"/>
    <x v="1"/>
    <n v="4489"/>
    <n v="22445"/>
  </r>
  <r>
    <x v="1"/>
    <x v="3"/>
    <d v="2020-04-25T00:00:00"/>
    <x v="1"/>
    <x v="1"/>
    <x v="0"/>
    <x v="1"/>
    <n v="3778"/>
    <n v="18890"/>
  </r>
  <r>
    <x v="1"/>
    <x v="10"/>
    <d v="2020-03-07T00:00:00"/>
    <x v="2"/>
    <x v="0"/>
    <x v="3"/>
    <x v="1"/>
    <n v="1007"/>
    <n v="5035"/>
  </r>
  <r>
    <x v="1"/>
    <x v="0"/>
    <d v="2020-02-08T00:00:00"/>
    <x v="2"/>
    <x v="8"/>
    <x v="3"/>
    <x v="1"/>
    <n v="4536"/>
    <n v="22680"/>
  </r>
  <r>
    <x v="1"/>
    <x v="1"/>
    <d v="2020-06-25T00:00:00"/>
    <x v="0"/>
    <x v="1"/>
    <x v="0"/>
    <x v="1"/>
    <n v="3778"/>
    <n v="18890"/>
  </r>
  <r>
    <x v="1"/>
    <x v="6"/>
    <d v="2020-10-10T00:00:00"/>
    <x v="1"/>
    <x v="1"/>
    <x v="0"/>
    <x v="1"/>
    <n v="1543"/>
    <n v="7715"/>
  </r>
  <r>
    <x v="1"/>
    <x v="8"/>
    <d v="2020-05-16T00:00:00"/>
    <x v="0"/>
    <x v="1"/>
    <x v="2"/>
    <x v="1"/>
    <n v="1880"/>
    <n v="9400"/>
  </r>
  <r>
    <x v="1"/>
    <x v="7"/>
    <d v="2020-09-10T00:00:00"/>
    <x v="1"/>
    <x v="1"/>
    <x v="0"/>
    <x v="1"/>
    <n v="1543"/>
    <n v="7715"/>
  </r>
  <r>
    <x v="1"/>
    <x v="10"/>
    <d v="2020-03-09T00:00:00"/>
    <x v="2"/>
    <x v="0"/>
    <x v="3"/>
    <x v="1"/>
    <n v="1308"/>
    <n v="6540"/>
  </r>
  <r>
    <x v="1"/>
    <x v="1"/>
    <d v="2020-06-10T00:00:00"/>
    <x v="2"/>
    <x v="8"/>
    <x v="3"/>
    <x v="1"/>
    <n v="3013"/>
    <n v="15065"/>
  </r>
  <r>
    <x v="1"/>
    <x v="5"/>
    <d v="2020-12-05T00:00:00"/>
    <x v="0"/>
    <x v="1"/>
    <x v="1"/>
    <x v="3"/>
    <n v="1778"/>
    <n v="88900"/>
  </r>
  <r>
    <x v="1"/>
    <x v="5"/>
    <d v="2020-12-28T00:00:00"/>
    <x v="0"/>
    <x v="7"/>
    <x v="2"/>
    <x v="3"/>
    <n v="4471"/>
    <n v="223550"/>
  </r>
  <r>
    <x v="1"/>
    <x v="6"/>
    <d v="2020-10-08T00:00:00"/>
    <x v="0"/>
    <x v="6"/>
    <x v="5"/>
    <x v="2"/>
    <n v="2178"/>
    <n v="108900"/>
  </r>
  <r>
    <x v="1"/>
    <x v="4"/>
    <d v="2020-11-06T00:00:00"/>
    <x v="0"/>
    <x v="4"/>
    <x v="1"/>
    <x v="4"/>
    <n v="2446"/>
    <n v="122300"/>
  </r>
  <r>
    <x v="1"/>
    <x v="8"/>
    <d v="2020-05-25T00:00:00"/>
    <x v="2"/>
    <x v="1"/>
    <x v="1"/>
    <x v="4"/>
    <n v="1500"/>
    <n v="75000"/>
  </r>
  <r>
    <x v="1"/>
    <x v="10"/>
    <d v="2020-03-25T00:00:00"/>
    <x v="0"/>
    <x v="7"/>
    <x v="2"/>
    <x v="2"/>
    <n v="2636"/>
    <n v="131800"/>
  </r>
  <r>
    <x v="1"/>
    <x v="9"/>
    <d v="2020-01-17T00:00:00"/>
    <x v="1"/>
    <x v="4"/>
    <x v="0"/>
    <x v="3"/>
    <n v="4650"/>
    <n v="232500"/>
  </r>
  <r>
    <x v="1"/>
    <x v="2"/>
    <d v="2020-07-29T00:00:00"/>
    <x v="2"/>
    <x v="5"/>
    <x v="1"/>
    <x v="2"/>
    <n v="614"/>
    <n v="30700"/>
  </r>
  <r>
    <x v="1"/>
    <x v="11"/>
    <d v="2020-08-28T00:00:00"/>
    <x v="2"/>
    <x v="1"/>
    <x v="1"/>
    <x v="4"/>
    <n v="2000"/>
    <n v="100000"/>
  </r>
  <r>
    <x v="1"/>
    <x v="11"/>
    <d v="2020-08-07T00:00:00"/>
    <x v="2"/>
    <x v="7"/>
    <x v="2"/>
    <x v="4"/>
    <n v="1200"/>
    <n v="60000"/>
  </r>
  <r>
    <x v="1"/>
    <x v="4"/>
    <d v="2020-11-15T00:00:00"/>
    <x v="2"/>
    <x v="8"/>
    <x v="0"/>
    <x v="4"/>
    <n v="1200"/>
    <n v="60000"/>
  </r>
  <r>
    <x v="1"/>
    <x v="6"/>
    <d v="2020-10-10T00:00:00"/>
    <x v="0"/>
    <x v="0"/>
    <x v="0"/>
    <x v="3"/>
    <n v="4355"/>
    <n v="217750"/>
  </r>
  <r>
    <x v="1"/>
    <x v="9"/>
    <d v="2020-01-11T00:00:00"/>
    <x v="0"/>
    <x v="1"/>
    <x v="3"/>
    <x v="0"/>
    <n v="4531"/>
    <n v="271860"/>
  </r>
  <r>
    <x v="1"/>
    <x v="10"/>
    <d v="2020-03-04T00:00:00"/>
    <x v="0"/>
    <x v="3"/>
    <x v="3"/>
    <x v="0"/>
    <n v="3102"/>
    <n v="186120"/>
  </r>
  <r>
    <x v="1"/>
    <x v="0"/>
    <d v="2020-02-15T00:00:00"/>
    <x v="0"/>
    <x v="2"/>
    <x v="5"/>
    <x v="4"/>
    <n v="1800"/>
    <n v="90000"/>
  </r>
  <r>
    <x v="1"/>
    <x v="2"/>
    <d v="2020-07-08T00:00:00"/>
    <x v="2"/>
    <x v="9"/>
    <x v="0"/>
    <x v="3"/>
    <n v="1516"/>
    <n v="75800"/>
  </r>
  <r>
    <x v="1"/>
    <x v="6"/>
    <d v="2020-10-10T00:00:00"/>
    <x v="0"/>
    <x v="9"/>
    <x v="1"/>
    <x v="3"/>
    <n v="1289"/>
    <n v="64450"/>
  </r>
  <r>
    <x v="1"/>
    <x v="11"/>
    <d v="2020-08-14T00:00:00"/>
    <x v="1"/>
    <x v="6"/>
    <x v="2"/>
    <x v="3"/>
    <n v="1697"/>
    <n v="84850"/>
  </r>
  <r>
    <x v="1"/>
    <x v="6"/>
    <d v="2020-10-02T00:00:00"/>
    <x v="2"/>
    <x v="7"/>
    <x v="5"/>
    <x v="2"/>
    <n v="3215"/>
    <n v="160750"/>
  </r>
  <r>
    <x v="1"/>
    <x v="6"/>
    <d v="2020-10-17T00:00:00"/>
    <x v="2"/>
    <x v="6"/>
    <x v="1"/>
    <x v="4"/>
    <n v="1000"/>
    <n v="50000"/>
  </r>
  <r>
    <x v="1"/>
    <x v="4"/>
    <d v="2020-11-24T00:00:00"/>
    <x v="2"/>
    <x v="5"/>
    <x v="1"/>
    <x v="1"/>
    <n v="4489"/>
    <n v="22445"/>
  </r>
  <r>
    <x v="1"/>
    <x v="10"/>
    <d v="2020-03-25T00:00:00"/>
    <x v="0"/>
    <x v="1"/>
    <x v="2"/>
    <x v="1"/>
    <n v="4489"/>
    <n v="22445"/>
  </r>
  <r>
    <x v="1"/>
    <x v="3"/>
    <d v="2020-04-25T00:00:00"/>
    <x v="1"/>
    <x v="1"/>
    <x v="0"/>
    <x v="1"/>
    <n v="3778"/>
    <n v="18890"/>
  </r>
  <r>
    <x v="1"/>
    <x v="10"/>
    <d v="2020-03-07T00:00:00"/>
    <x v="2"/>
    <x v="0"/>
    <x v="3"/>
    <x v="1"/>
    <n v="1007"/>
    <n v="5035"/>
  </r>
  <r>
    <x v="1"/>
    <x v="0"/>
    <d v="2020-02-08T00:00:00"/>
    <x v="2"/>
    <x v="8"/>
    <x v="3"/>
    <x v="1"/>
    <n v="4536"/>
    <n v="22680"/>
  </r>
  <r>
    <x v="1"/>
    <x v="1"/>
    <d v="2020-06-25T00:00:00"/>
    <x v="1"/>
    <x v="1"/>
    <x v="0"/>
    <x v="1"/>
    <n v="3778"/>
    <n v="18890"/>
  </r>
  <r>
    <x v="1"/>
    <x v="6"/>
    <d v="2020-10-10T00:00:00"/>
    <x v="1"/>
    <x v="1"/>
    <x v="0"/>
    <x v="1"/>
    <n v="1543"/>
    <n v="7715"/>
  </r>
  <r>
    <x v="1"/>
    <x v="5"/>
    <d v="2020-12-27T00:00:00"/>
    <x v="2"/>
    <x v="0"/>
    <x v="0"/>
    <x v="0"/>
    <n v="4944"/>
    <n v="296640"/>
  </r>
  <r>
    <x v="1"/>
    <x v="0"/>
    <d v="2020-02-16T00:00:00"/>
    <x v="0"/>
    <x v="5"/>
    <x v="2"/>
    <x v="0"/>
    <n v="3193"/>
    <n v="191580"/>
  </r>
  <r>
    <x v="1"/>
    <x v="4"/>
    <d v="2020-11-06T00:00:00"/>
    <x v="0"/>
    <x v="4"/>
    <x v="1"/>
    <x v="0"/>
    <n v="3377"/>
    <n v="202620"/>
  </r>
  <r>
    <x v="1"/>
    <x v="7"/>
    <d v="2020-09-21T00:00:00"/>
    <x v="2"/>
    <x v="4"/>
    <x v="2"/>
    <x v="0"/>
    <n v="3390"/>
    <n v="203400"/>
  </r>
  <r>
    <x v="1"/>
    <x v="4"/>
    <d v="2020-11-26T00:00:00"/>
    <x v="0"/>
    <x v="7"/>
    <x v="0"/>
    <x v="0"/>
    <n v="4501"/>
    <n v="270060"/>
  </r>
  <r>
    <x v="1"/>
    <x v="1"/>
    <d v="2020-06-20T00:00:00"/>
    <x v="2"/>
    <x v="5"/>
    <x v="1"/>
    <x v="0"/>
    <n v="1106"/>
    <n v="66360"/>
  </r>
  <r>
    <x v="1"/>
    <x v="10"/>
    <d v="2020-03-21T00:00:00"/>
    <x v="0"/>
    <x v="7"/>
    <x v="3"/>
    <x v="0"/>
    <n v="1185"/>
    <n v="71100"/>
  </r>
  <r>
    <x v="1"/>
    <x v="1"/>
    <d v="2020-06-14T00:00:00"/>
    <x v="0"/>
    <x v="1"/>
    <x v="3"/>
    <x v="0"/>
    <n v="3544"/>
    <n v="212640"/>
  </r>
  <r>
    <x v="1"/>
    <x v="0"/>
    <d v="2020-02-18T00:00:00"/>
    <x v="0"/>
    <x v="1"/>
    <x v="3"/>
    <x v="0"/>
    <n v="2689"/>
    <n v="161340"/>
  </r>
  <r>
    <x v="1"/>
    <x v="7"/>
    <d v="2020-09-01T00:00:00"/>
    <x v="0"/>
    <x v="3"/>
    <x v="3"/>
    <x v="0"/>
    <n v="2672"/>
    <n v="160320"/>
  </r>
  <r>
    <x v="1"/>
    <x v="3"/>
    <d v="2020-04-21T00:00:00"/>
    <x v="1"/>
    <x v="1"/>
    <x v="3"/>
    <x v="0"/>
    <n v="4687"/>
    <n v="281220"/>
  </r>
  <r>
    <x v="1"/>
    <x v="3"/>
    <d v="2020-04-27T00:00:00"/>
    <x v="1"/>
    <x v="3"/>
    <x v="3"/>
    <x v="0"/>
    <n v="2247"/>
    <n v="134820"/>
  </r>
  <r>
    <x v="1"/>
    <x v="0"/>
    <d v="2020-02-25T00:00:00"/>
    <x v="1"/>
    <x v="1"/>
    <x v="3"/>
    <x v="0"/>
    <n v="1645"/>
    <n v="98700"/>
  </r>
  <r>
    <x v="1"/>
    <x v="5"/>
    <d v="2020-12-04T00:00:00"/>
    <x v="1"/>
    <x v="3"/>
    <x v="3"/>
    <x v="0"/>
    <n v="1355"/>
    <n v="81300"/>
  </r>
  <r>
    <x v="1"/>
    <x v="9"/>
    <d v="2020-01-11T00:00:00"/>
    <x v="2"/>
    <x v="1"/>
    <x v="3"/>
    <x v="0"/>
    <n v="4531"/>
    <n v="271860"/>
  </r>
  <r>
    <x v="1"/>
    <x v="10"/>
    <d v="2020-03-04T00:00:00"/>
    <x v="1"/>
    <x v="3"/>
    <x v="3"/>
    <x v="0"/>
    <n v="3102"/>
    <n v="186120"/>
  </r>
  <r>
    <x v="1"/>
    <x v="9"/>
    <d v="2020-01-11T00:00:00"/>
    <x v="2"/>
    <x v="1"/>
    <x v="3"/>
    <x v="0"/>
    <n v="4531"/>
    <n v="271860"/>
  </r>
  <r>
    <x v="1"/>
    <x v="10"/>
    <d v="2020-03-04T00:00:00"/>
    <x v="2"/>
    <x v="3"/>
    <x v="3"/>
    <x v="0"/>
    <n v="3102"/>
    <n v="186120"/>
  </r>
  <r>
    <x v="1"/>
    <x v="6"/>
    <d v="2020-10-08T00:00:00"/>
    <x v="2"/>
    <x v="6"/>
    <x v="5"/>
    <x v="2"/>
    <n v="2178"/>
    <n v="108900"/>
  </r>
  <r>
    <x v="1"/>
    <x v="10"/>
    <d v="2020-03-25T00:00:00"/>
    <x v="1"/>
    <x v="7"/>
    <x v="2"/>
    <x v="2"/>
    <n v="2636"/>
    <n v="131800"/>
  </r>
  <r>
    <x v="1"/>
    <x v="2"/>
    <d v="2020-07-29T00:00:00"/>
    <x v="2"/>
    <x v="5"/>
    <x v="1"/>
    <x v="2"/>
    <n v="614"/>
    <n v="30700"/>
  </r>
  <r>
    <x v="1"/>
    <x v="6"/>
    <d v="2020-10-02T00:00:00"/>
    <x v="2"/>
    <x v="7"/>
    <x v="5"/>
    <x v="2"/>
    <n v="3215"/>
    <n v="160750"/>
  </r>
  <r>
    <x v="1"/>
    <x v="6"/>
    <d v="2020-10-08T00:00:00"/>
    <x v="1"/>
    <x v="6"/>
    <x v="5"/>
    <x v="2"/>
    <n v="2178"/>
    <n v="108900"/>
  </r>
  <r>
    <x v="1"/>
    <x v="10"/>
    <d v="2020-03-25T00:00:00"/>
    <x v="1"/>
    <x v="7"/>
    <x v="2"/>
    <x v="2"/>
    <n v="2636"/>
    <n v="131800"/>
  </r>
  <r>
    <x v="1"/>
    <x v="2"/>
    <d v="2020-07-29T00:00:00"/>
    <x v="2"/>
    <x v="5"/>
    <x v="1"/>
    <x v="2"/>
    <n v="614"/>
    <n v="30700"/>
  </r>
  <r>
    <x v="1"/>
    <x v="6"/>
    <d v="2020-10-02T00:00:00"/>
    <x v="2"/>
    <x v="7"/>
    <x v="5"/>
    <x v="2"/>
    <n v="3215"/>
    <n v="160750"/>
  </r>
  <r>
    <x v="1"/>
    <x v="5"/>
    <d v="2020-12-05T00:00:00"/>
    <x v="1"/>
    <x v="1"/>
    <x v="1"/>
    <x v="3"/>
    <n v="2778"/>
    <n v="138900"/>
  </r>
  <r>
    <x v="1"/>
    <x v="5"/>
    <d v="2020-12-28T00:00:00"/>
    <x v="2"/>
    <x v="7"/>
    <x v="2"/>
    <x v="3"/>
    <n v="4471"/>
    <n v="223550"/>
  </r>
  <r>
    <x v="1"/>
    <x v="6"/>
    <d v="2020-10-08T00:00:00"/>
    <x v="1"/>
    <x v="6"/>
    <x v="5"/>
    <x v="2"/>
    <n v="2178"/>
    <n v="108900"/>
  </r>
  <r>
    <x v="1"/>
    <x v="4"/>
    <d v="2020-11-06T00:00:00"/>
    <x v="0"/>
    <x v="4"/>
    <x v="1"/>
    <x v="4"/>
    <n v="2446"/>
    <n v="122300"/>
  </r>
  <r>
    <x v="1"/>
    <x v="8"/>
    <d v="2020-05-25T00:00:00"/>
    <x v="2"/>
    <x v="1"/>
    <x v="1"/>
    <x v="4"/>
    <n v="1500"/>
    <n v="75000"/>
  </r>
  <r>
    <x v="1"/>
    <x v="10"/>
    <d v="2020-03-25T00:00:00"/>
    <x v="0"/>
    <x v="7"/>
    <x v="2"/>
    <x v="2"/>
    <n v="2636"/>
    <n v="131800"/>
  </r>
  <r>
    <x v="1"/>
    <x v="9"/>
    <d v="2020-01-17T00:00:00"/>
    <x v="0"/>
    <x v="4"/>
    <x v="0"/>
    <x v="3"/>
    <n v="4650"/>
    <n v="232500"/>
  </r>
  <r>
    <x v="1"/>
    <x v="2"/>
    <d v="2020-07-29T00:00:00"/>
    <x v="2"/>
    <x v="5"/>
    <x v="1"/>
    <x v="2"/>
    <n v="614"/>
    <n v="30700"/>
  </r>
  <r>
    <x v="1"/>
    <x v="11"/>
    <d v="2020-08-28T00:00:00"/>
    <x v="1"/>
    <x v="1"/>
    <x v="1"/>
    <x v="4"/>
    <n v="2000"/>
    <n v="100000"/>
  </r>
  <r>
    <x v="1"/>
    <x v="11"/>
    <d v="2020-08-07T00:00:00"/>
    <x v="1"/>
    <x v="7"/>
    <x v="2"/>
    <x v="4"/>
    <n v="1200"/>
    <n v="60000"/>
  </r>
  <r>
    <x v="1"/>
    <x v="4"/>
    <d v="2020-11-15T00:00:00"/>
    <x v="1"/>
    <x v="8"/>
    <x v="0"/>
    <x v="4"/>
    <n v="1200"/>
    <n v="60000"/>
  </r>
  <r>
    <x v="1"/>
    <x v="6"/>
    <d v="2020-10-10T00:00:00"/>
    <x v="0"/>
    <x v="0"/>
    <x v="0"/>
    <x v="3"/>
    <n v="4355"/>
    <n v="217750"/>
  </r>
  <r>
    <x v="1"/>
    <x v="9"/>
    <d v="2020-01-11T00:00:00"/>
    <x v="0"/>
    <x v="1"/>
    <x v="3"/>
    <x v="0"/>
    <n v="4531"/>
    <n v="271860"/>
  </r>
  <r>
    <x v="1"/>
    <x v="10"/>
    <d v="2020-03-04T00:00:00"/>
    <x v="0"/>
    <x v="3"/>
    <x v="3"/>
    <x v="0"/>
    <n v="3102"/>
    <n v="186120"/>
  </r>
  <r>
    <x v="1"/>
    <x v="0"/>
    <d v="2020-02-15T00:00:00"/>
    <x v="0"/>
    <x v="2"/>
    <x v="5"/>
    <x v="4"/>
    <n v="1800"/>
    <n v="90000"/>
  </r>
  <r>
    <x v="1"/>
    <x v="2"/>
    <d v="2020-07-08T00:00:00"/>
    <x v="1"/>
    <x v="9"/>
    <x v="0"/>
    <x v="3"/>
    <n v="1516"/>
    <n v="75800"/>
  </r>
  <r>
    <x v="1"/>
    <x v="6"/>
    <d v="2020-10-10T00:00:00"/>
    <x v="0"/>
    <x v="9"/>
    <x v="1"/>
    <x v="3"/>
    <n v="1289"/>
    <n v="64450"/>
  </r>
  <r>
    <x v="1"/>
    <x v="11"/>
    <d v="2020-08-14T00:00:00"/>
    <x v="1"/>
    <x v="6"/>
    <x v="2"/>
    <x v="3"/>
    <n v="1697"/>
    <n v="84850"/>
  </r>
  <r>
    <x v="1"/>
    <x v="6"/>
    <d v="2020-10-02T00:00:00"/>
    <x v="2"/>
    <x v="7"/>
    <x v="5"/>
    <x v="2"/>
    <n v="3215"/>
    <n v="160750"/>
  </r>
  <r>
    <x v="1"/>
    <x v="6"/>
    <d v="2020-10-17T00:00:00"/>
    <x v="2"/>
    <x v="6"/>
    <x v="1"/>
    <x v="4"/>
    <n v="1000"/>
    <n v="50000"/>
  </r>
  <r>
    <x v="1"/>
    <x v="4"/>
    <d v="2020-11-24T00:00:00"/>
    <x v="2"/>
    <x v="5"/>
    <x v="1"/>
    <x v="1"/>
    <n v="4489"/>
    <n v="22445"/>
  </r>
  <r>
    <x v="1"/>
    <x v="10"/>
    <d v="2020-03-25T00:00:00"/>
    <x v="0"/>
    <x v="1"/>
    <x v="2"/>
    <x v="1"/>
    <n v="4489"/>
    <n v="22445"/>
  </r>
  <r>
    <x v="1"/>
    <x v="3"/>
    <d v="2020-04-25T00:00:00"/>
    <x v="1"/>
    <x v="1"/>
    <x v="0"/>
    <x v="1"/>
    <n v="3778"/>
    <n v="18890"/>
  </r>
  <r>
    <x v="1"/>
    <x v="10"/>
    <d v="2020-03-07T00:00:00"/>
    <x v="2"/>
    <x v="0"/>
    <x v="3"/>
    <x v="1"/>
    <n v="1007"/>
    <n v="5035"/>
  </r>
  <r>
    <x v="1"/>
    <x v="0"/>
    <d v="2020-02-08T00:00:00"/>
    <x v="2"/>
    <x v="8"/>
    <x v="3"/>
    <x v="1"/>
    <n v="4536"/>
    <n v="22680"/>
  </r>
  <r>
    <x v="1"/>
    <x v="1"/>
    <d v="2020-06-25T00:00:00"/>
    <x v="1"/>
    <x v="1"/>
    <x v="0"/>
    <x v="1"/>
    <n v="3778"/>
    <n v="18890"/>
  </r>
  <r>
    <x v="1"/>
    <x v="6"/>
    <d v="2020-10-10T00:00:00"/>
    <x v="1"/>
    <x v="1"/>
    <x v="0"/>
    <x v="1"/>
    <n v="2543"/>
    <n v="12715"/>
  </r>
  <r>
    <x v="1"/>
    <x v="8"/>
    <d v="2020-05-16T00:00:00"/>
    <x v="0"/>
    <x v="1"/>
    <x v="2"/>
    <x v="1"/>
    <n v="1880"/>
    <n v="9400"/>
  </r>
  <r>
    <x v="1"/>
    <x v="7"/>
    <d v="2020-09-10T00:00:00"/>
    <x v="1"/>
    <x v="1"/>
    <x v="0"/>
    <x v="1"/>
    <n v="2543"/>
    <n v="12715"/>
  </r>
  <r>
    <x v="1"/>
    <x v="10"/>
    <d v="2020-03-09T00:00:00"/>
    <x v="2"/>
    <x v="0"/>
    <x v="3"/>
    <x v="1"/>
    <n v="1308"/>
    <n v="6540"/>
  </r>
  <r>
    <x v="1"/>
    <x v="1"/>
    <d v="2020-06-10T00:00:00"/>
    <x v="2"/>
    <x v="8"/>
    <x v="3"/>
    <x v="1"/>
    <n v="3013"/>
    <n v="15065"/>
  </r>
  <r>
    <x v="1"/>
    <x v="5"/>
    <d v="2020-12-05T00:00:00"/>
    <x v="2"/>
    <x v="1"/>
    <x v="1"/>
    <x v="3"/>
    <n v="1778"/>
    <n v="88900"/>
  </r>
  <r>
    <x v="1"/>
    <x v="5"/>
    <d v="2020-12-28T00:00:00"/>
    <x v="2"/>
    <x v="7"/>
    <x v="2"/>
    <x v="3"/>
    <n v="4471"/>
    <n v="223550"/>
  </r>
  <r>
    <x v="1"/>
    <x v="6"/>
    <d v="2020-10-08T00:00:00"/>
    <x v="0"/>
    <x v="6"/>
    <x v="5"/>
    <x v="2"/>
    <n v="2178"/>
    <n v="108900"/>
  </r>
  <r>
    <x v="1"/>
    <x v="4"/>
    <d v="2020-11-06T00:00:00"/>
    <x v="0"/>
    <x v="4"/>
    <x v="1"/>
    <x v="4"/>
    <n v="2446"/>
    <n v="122300"/>
  </r>
  <r>
    <x v="1"/>
    <x v="8"/>
    <d v="2020-05-25T00:00:00"/>
    <x v="2"/>
    <x v="1"/>
    <x v="1"/>
    <x v="4"/>
    <n v="1500"/>
    <n v="75000"/>
  </r>
  <r>
    <x v="1"/>
    <x v="10"/>
    <d v="2020-03-25T00:00:00"/>
    <x v="0"/>
    <x v="7"/>
    <x v="2"/>
    <x v="2"/>
    <n v="2636"/>
    <n v="131800"/>
  </r>
  <r>
    <x v="1"/>
    <x v="9"/>
    <d v="2020-01-17T00:00:00"/>
    <x v="2"/>
    <x v="4"/>
    <x v="0"/>
    <x v="3"/>
    <n v="4650"/>
    <n v="232500"/>
  </r>
  <r>
    <x v="1"/>
    <x v="2"/>
    <d v="2020-07-29T00:00:00"/>
    <x v="2"/>
    <x v="5"/>
    <x v="1"/>
    <x v="2"/>
    <n v="614"/>
    <n v="30700"/>
  </r>
  <r>
    <x v="1"/>
    <x v="11"/>
    <d v="2020-08-28T00:00:00"/>
    <x v="2"/>
    <x v="1"/>
    <x v="1"/>
    <x v="4"/>
    <n v="2000"/>
    <n v="100000"/>
  </r>
  <r>
    <x v="1"/>
    <x v="11"/>
    <d v="2020-08-07T00:00:00"/>
    <x v="2"/>
    <x v="7"/>
    <x v="2"/>
    <x v="4"/>
    <n v="1200"/>
    <n v="60000"/>
  </r>
  <r>
    <x v="1"/>
    <x v="4"/>
    <d v="2020-11-15T00:00:00"/>
    <x v="2"/>
    <x v="8"/>
    <x v="0"/>
    <x v="4"/>
    <n v="1200"/>
    <n v="6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31FB10-FB57-4545-9A2D-9752EC2EA97C}" name="Tabela dinâmica6" cacheId="0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6" indent="0" outline="1" outlineData="1" multipleFieldFilters="0" chartFormat="2">
  <location ref="AD8:AE18" firstHeaderRow="1" firstDataRow="1" firstDataCol="1"/>
  <pivotFields count="9">
    <pivotField showAll="0"/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>
      <items count="4">
        <item x="2"/>
        <item x="0"/>
        <item x="1"/>
        <item t="default"/>
      </items>
    </pivotField>
    <pivotField axis="axisRow" showAll="0" sortType="descending">
      <items count="11">
        <item x="5"/>
        <item x="7"/>
        <item x="2"/>
        <item x="1"/>
        <item x="6"/>
        <item x="8"/>
        <item x="3"/>
        <item x="0"/>
        <item x="4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>
      <items count="6">
        <item x="3"/>
        <item x="2"/>
        <item x="4"/>
        <item x="1"/>
        <item x="0"/>
        <item t="default"/>
      </items>
    </pivotField>
    <pivotField showAll="0"/>
    <pivotField dataField="1" numFmtId="164" showAll="0"/>
  </pivotFields>
  <rowFields count="1">
    <field x="4"/>
  </rowFields>
  <rowItems count="10">
    <i>
      <x v="3"/>
    </i>
    <i>
      <x v="1"/>
    </i>
    <i>
      <x v="7"/>
    </i>
    <i>
      <x v="8"/>
    </i>
    <i>
      <x/>
    </i>
    <i>
      <x v="6"/>
    </i>
    <i>
      <x v="4"/>
    </i>
    <i>
      <x v="2"/>
    </i>
    <i>
      <x v="5"/>
    </i>
    <i>
      <x v="9"/>
    </i>
  </rowItems>
  <colItems count="1">
    <i/>
  </colItems>
  <dataFields count="1">
    <dataField name="Soma de VALOR - R$" fld="8" baseField="4" baseItem="4" numFmtId="164"/>
  </dataFields>
  <formats count="1">
    <format dxfId="0">
      <pivotArea collapsedLevelsAreSubtotals="1" fieldPosition="0">
        <references count="1">
          <reference field="4" count="0"/>
        </references>
      </pivotArea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4" count="10">
              <x v="0"/>
              <x v="1"/>
              <x v="2"/>
              <x v="3"/>
              <x v="4"/>
              <x v="5"/>
              <x v="6"/>
              <x v="7"/>
              <x v="8"/>
              <x v="9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AB72FB-8ECB-498E-87C1-3B4311336009}" name="Tabela dinâmica7" cacheId="0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6" indent="0" outline="1" outlineData="1" multipleFieldFilters="0" chartFormat="12">
  <location ref="AV11:AW17" firstHeaderRow="1" firstDataRow="1" firstDataCol="1"/>
  <pivotFields count="9">
    <pivotField showAll="0"/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>
      <items count="4">
        <item x="2"/>
        <item x="0"/>
        <item x="1"/>
        <item t="default"/>
      </items>
    </pivotField>
    <pivotField showAll="0"/>
    <pivotField axis="axisRow" showAll="0">
      <items count="7">
        <item x="3"/>
        <item x="0"/>
        <item x="4"/>
        <item x="1"/>
        <item x="5"/>
        <item x="2"/>
        <item t="default"/>
      </items>
    </pivotField>
    <pivotField showAll="0">
      <items count="6">
        <item x="3"/>
        <item x="2"/>
        <item x="4"/>
        <item x="1"/>
        <item x="0"/>
        <item t="default"/>
      </items>
    </pivotField>
    <pivotField showAll="0"/>
    <pivotField dataField="1" numFmtId="164" showAll="0"/>
  </pivotFields>
  <rowFields count="1">
    <field x="5"/>
  </rowFields>
  <rowItems count="6">
    <i>
      <x/>
    </i>
    <i>
      <x v="1"/>
    </i>
    <i>
      <x v="2"/>
    </i>
    <i>
      <x v="3"/>
    </i>
    <i>
      <x v="4"/>
    </i>
    <i>
      <x v="5"/>
    </i>
  </rowItems>
  <colItems count="1">
    <i/>
  </colItems>
  <dataFields count="1">
    <dataField name="Soma de VALOR - R$" fld="8" baseField="6" baseItem="4" numFmtId="164"/>
  </dataFields>
  <formats count="1">
    <format dxfId="1">
      <pivotArea collapsedLevelsAreSubtotals="1" fieldPosition="0">
        <references count="1">
          <reference field="5" count="0"/>
        </references>
      </pivotArea>
    </format>
  </formats>
  <chartFormats count="2"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965615F-E994-45DB-85A6-265F2547314F}" name="Tabela dinâmica4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X10:Y16" firstHeaderRow="1" firstDataRow="1" firstDataCol="1"/>
  <pivotFields count="9">
    <pivotField showAll="0"/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/>
    <pivotField showAll="0"/>
    <pivotField showAll="0"/>
    <pivotField axis="axisRow" showAll="0">
      <items count="6">
        <item x="3"/>
        <item x="2"/>
        <item x="4"/>
        <item x="1"/>
        <item x="0"/>
        <item t="default"/>
      </items>
    </pivotField>
    <pivotField dataField="1" showAll="0"/>
    <pivotField numFmtId="164"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oma de QUANTIDADE - KG" fld="7" baseField="6" baseItem="4" numFmtId="165"/>
  </dataFields>
  <chartFormats count="1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1B073F-1681-4277-84E8-6AA3C971E7D6}" name="Tabela dinâmica8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Y11:AZ14" firstHeaderRow="1" firstDataRow="1" firstDataCol="1"/>
  <pivotFields count="9">
    <pivotField axis="axisRow" showAll="0">
      <items count="3">
        <item x="0"/>
        <item x="1"/>
        <item t="default"/>
      </items>
    </pivotField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/>
    <pivotField showAll="0"/>
    <pivotField showAll="0"/>
    <pivotField showAll="0"/>
    <pivotField showAll="0"/>
    <pivotField dataField="1" numFmtId="164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Soma de VALOR - R$" fld="8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6C83CB8-D637-4D83-BFBB-2F5920E38FAA}" name="Tabela dinâmica1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T9:U12" firstHeaderRow="1" firstDataRow="1" firstDataCol="1"/>
  <pivotFields count="9">
    <pivotField axis="axisRow" showAll="0">
      <items count="3">
        <item x="0"/>
        <item x="1"/>
        <item t="default"/>
      </items>
    </pivotField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/>
    <pivotField showAll="0"/>
    <pivotField showAll="0"/>
    <pivotField showAll="0"/>
    <pivotField dataField="1" showAll="0"/>
    <pivotField numFmtId="164" showAl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Soma de QUANTIDADE - KG" fld="7" baseField="3" baseItem="6" numFmtId="165"/>
  </dataFields>
  <chartFormats count="2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2FFC970-E893-4887-8DDB-9B18FB7FBFB1}" name="Tabela dinâ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H10:I14" firstHeaderRow="1" firstDataRow="1" firstDataCol="1"/>
  <pivotFields count="9">
    <pivotField showAll="0"/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axis="axisRow" showAll="0">
      <items count="4">
        <item x="2"/>
        <item x="0"/>
        <item x="1"/>
        <item t="default"/>
      </items>
    </pivotField>
    <pivotField showAll="0"/>
    <pivotField showAll="0"/>
    <pivotField showAll="0">
      <items count="6">
        <item x="3"/>
        <item x="2"/>
        <item x="4"/>
        <item x="1"/>
        <item x="0"/>
        <item t="default"/>
      </items>
    </pivotField>
    <pivotField dataField="1" showAll="0"/>
    <pivotField numFmtId="164" showAll="0"/>
  </pivotFields>
  <rowFields count="1">
    <field x="3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Soma de QUANTIDADE - KG" fld="7" baseField="3" baseItem="6" numFmtId="165"/>
  </dataFields>
  <chartFormats count="2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3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4FB258-E099-490B-8CE3-83D6DD96669A}" name="Tabela dinâmica2" cacheId="0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6" indent="0" outline="1" outlineData="1" multipleFieldFilters="0" chartFormat="4">
  <location ref="L10:M13" firstHeaderRow="1" firstDataRow="1" firstDataCol="1" rowPageCount="1" colPageCount="1"/>
  <pivotFields count="9">
    <pivotField axis="axisPage" multipleItemSelectionAllowed="1" showAll="0">
      <items count="3">
        <item h="1" x="0"/>
        <item x="1"/>
        <item t="default"/>
      </items>
    </pivotField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axis="axisRow" showAll="0">
      <items count="4">
        <item x="2"/>
        <item x="0"/>
        <item x="1"/>
        <item t="default"/>
      </items>
    </pivotField>
    <pivotField showAll="0"/>
    <pivotField showAll="0"/>
    <pivotField showAll="0">
      <items count="6">
        <item x="3"/>
        <item x="2"/>
        <item x="4"/>
        <item x="1"/>
        <item x="0"/>
        <item t="default"/>
      </items>
    </pivotField>
    <pivotField showAll="0"/>
    <pivotField dataField="1" numFmtId="164" showAll="0"/>
  </pivotFields>
  <rowFields count="1">
    <field x="3"/>
  </rowFields>
  <rowItems count="3">
    <i>
      <x/>
    </i>
    <i>
      <x v="1"/>
    </i>
    <i>
      <x v="2"/>
    </i>
  </rowItems>
  <colItems count="1">
    <i/>
  </colItems>
  <pageFields count="1">
    <pageField fld="0" hier="-1"/>
  </pageFields>
  <dataFields count="1">
    <dataField name="Soma de VALOR - R$" fld="8" baseField="3" baseItem="6" numFmtId="166"/>
  </dataField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BB4742-BA67-4B68-989A-0FC656397D34}" name="Tabela dinâmica5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2">
  <location ref="BB11:BB12" firstHeaderRow="1" firstDataRow="1" firstDataCol="0"/>
  <pivotFields count="9">
    <pivotField showAll="0"/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>
      <items count="4">
        <item x="2"/>
        <item x="0"/>
        <item x="1"/>
        <item t="default"/>
      </items>
    </pivotField>
    <pivotField showAll="0"/>
    <pivotField showAll="0"/>
    <pivotField showAll="0">
      <items count="6">
        <item x="3"/>
        <item x="2"/>
        <item x="4"/>
        <item x="1"/>
        <item x="0"/>
        <item t="default"/>
      </items>
    </pivotField>
    <pivotField showAll="0"/>
    <pivotField dataField="1" numFmtId="164" showAll="0"/>
  </pivotFields>
  <rowItems count="1">
    <i/>
  </rowItems>
  <colItems count="1">
    <i/>
  </colItems>
  <dataFields count="1">
    <dataField name="Soma de VALOR - R$" fld="8" baseField="6" baseItem="4" numFmtId="164"/>
  </dataFields>
  <chartFormats count="3"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1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C4BA23-0A6F-4BC5-B5FB-A585021ADBD7}" name="Tabela dinâmica9" cacheId="0" applyNumberFormats="0" applyBorderFormats="0" applyFontFormats="0" applyPatternFormats="0" applyAlignmentFormats="0" applyWidthHeightFormats="1" dataCaption="Valores" updatedVersion="6" minRefreshableVersion="3" useAutoFormatting="1" rowGrandTotals="0" itemPrintTitles="1" createdVersion="6" indent="0" outline="1" outlineData="1" multipleFieldFilters="0" chartFormat="11">
  <location ref="AA10:AB15" firstHeaderRow="1" firstDataRow="1" firstDataCol="1" rowPageCount="1" colPageCount="1"/>
  <pivotFields count="9">
    <pivotField axis="axisPage" multipleItemSelectionAllowed="1" showAll="0">
      <items count="3">
        <item h="1" x="0"/>
        <item x="1"/>
        <item t="default"/>
      </items>
    </pivotField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/>
    <pivotField showAll="0"/>
    <pivotField showAll="0"/>
    <pivotField axis="axisRow" showAll="0" sortType="ascending">
      <items count="6">
        <item x="3"/>
        <item x="2"/>
        <item x="4"/>
        <item x="1"/>
        <item x="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dataField="1" numFmtId="164" showAll="0"/>
  </pivotFields>
  <rowFields count="1">
    <field x="6"/>
  </rowFields>
  <rowItems count="5">
    <i>
      <x v="3"/>
    </i>
    <i>
      <x v="2"/>
    </i>
    <i>
      <x v="1"/>
    </i>
    <i>
      <x/>
    </i>
    <i>
      <x v="4"/>
    </i>
  </rowItems>
  <colItems count="1">
    <i/>
  </colItems>
  <pageFields count="1">
    <pageField fld="0" hier="-1"/>
  </pageFields>
  <dataFields count="1">
    <dataField name="Soma de VALOR - R$" fld="8" baseField="6" baseItem="4" numFmtId="166"/>
  </dataFields>
  <chartFormats count="2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E2C3F9-437E-4A23-8202-3FEF02BC324C}" name="Tabela dinâmica10" cacheId="0" applyNumberFormats="0" applyBorderFormats="0" applyFontFormats="0" applyPatternFormats="0" applyAlignmentFormats="0" applyWidthHeightFormats="1" dataCaption="Valores" missingCaption="0" updatedVersion="6" minRefreshableVersion="3" useAutoFormatting="1" itemPrintTitles="1" createdVersion="6" indent="0" outline="1" outlineData="1" multipleFieldFilters="0" chartFormat="12">
  <location ref="AG2:AT6" firstHeaderRow="1" firstDataRow="2" firstDataCol="1"/>
  <pivotFields count="9">
    <pivotField axis="axisRow" showAll="0">
      <items count="3">
        <item x="0"/>
        <item x="1"/>
        <item t="default"/>
      </items>
    </pivotField>
    <pivotField axis="axisCol"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showAll="0"/>
    <pivotField showAll="0"/>
    <pivotField showAll="0"/>
    <pivotField showAll="0"/>
    <pivotField showAll="0"/>
    <pivotField dataField="1" numFmtId="164" showAll="0"/>
  </pivotFields>
  <rowFields count="1">
    <field x="0"/>
  </rowFields>
  <rowItems count="3">
    <i>
      <x/>
    </i>
    <i>
      <x v="1"/>
    </i>
    <i t="grand">
      <x/>
    </i>
  </rowItems>
  <colFields count="1">
    <field x="1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oma de VALOR - R$" fld="8" baseField="4" baseItem="4" numFmtId="164"/>
  </dataFields>
  <chartFormats count="12">
    <chartFormat chart="6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6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6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6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6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6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6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6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6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6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3EC410-F5BA-4AC3-85F4-FB58396BB94C}" name="Tabela dinâmica3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O10:Q17" firstHeaderRow="1" firstDataRow="2" firstDataCol="1"/>
  <pivotFields count="9">
    <pivotField showAll="0"/>
    <pivotField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axis="axisCol" showAll="0">
      <items count="4">
        <item x="2"/>
        <item h="1" x="0"/>
        <item h="1" x="1"/>
        <item t="default"/>
      </items>
    </pivotField>
    <pivotField showAll="0"/>
    <pivotField showAll="0"/>
    <pivotField axis="axisRow" showAll="0">
      <items count="6">
        <item x="0"/>
        <item x="4"/>
        <item x="2"/>
        <item x="3"/>
        <item x="1"/>
        <item t="default"/>
      </items>
    </pivotField>
    <pivotField dataField="1" showAll="0"/>
    <pivotField numFmtId="164" showAll="0"/>
  </pivotFields>
  <rowFields count="1">
    <field x="6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3"/>
  </colFields>
  <colItems count="2">
    <i>
      <x/>
    </i>
    <i t="grand">
      <x/>
    </i>
  </colItems>
  <dataFields count="1">
    <dataField name="Soma de QUANTIDADE - KG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095EC5-424F-4945-AC40-5DB728B7F9A3}" name="Tabela dinâmica11" cacheId="0" applyNumberFormats="0" applyBorderFormats="0" applyFontFormats="0" applyPatternFormats="0" applyAlignmentFormats="0" applyWidthHeightFormats="1" dataCaption="Valores" missingCaption="0" updatedVersion="6" minRefreshableVersion="3" useAutoFormatting="1" itemPrintTitles="1" createdVersion="6" indent="0" outline="1" outlineData="1" multipleFieldFilters="0" chartFormat="12">
  <location ref="AG28:AK42" firstHeaderRow="1" firstDataRow="2" firstDataCol="1" rowPageCount="1" colPageCount="1"/>
  <pivotFields count="9">
    <pivotField axis="axisPage" multipleItemSelectionAllowed="1" showAll="0">
      <items count="3">
        <item x="0"/>
        <item x="1"/>
        <item t="default"/>
      </items>
    </pivotField>
    <pivotField axis="axisRow" showAll="0">
      <items count="13">
        <item x="9"/>
        <item x="0"/>
        <item x="10"/>
        <item x="3"/>
        <item x="8"/>
        <item x="1"/>
        <item x="2"/>
        <item x="11"/>
        <item x="7"/>
        <item x="6"/>
        <item x="4"/>
        <item x="5"/>
        <item t="default"/>
      </items>
    </pivotField>
    <pivotField numFmtId="14" showAll="0"/>
    <pivotField axis="axisCol" showAll="0">
      <items count="4">
        <item x="2"/>
        <item x="0"/>
        <item x="1"/>
        <item t="default"/>
      </items>
    </pivotField>
    <pivotField showAll="0"/>
    <pivotField showAll="0"/>
    <pivotField showAll="0">
      <items count="6">
        <item x="3"/>
        <item x="2"/>
        <item x="4"/>
        <item x="1"/>
        <item x="0"/>
        <item t="default"/>
      </items>
    </pivotField>
    <pivotField showAll="0"/>
    <pivotField dataField="1" numFmtId="164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pageFields count="1">
    <pageField fld="0" hier="-1"/>
  </pageFields>
  <dataFields count="1">
    <dataField name="Soma de VALOR - R$" fld="8" baseField="4" baseItem="4" numFmtId="164"/>
  </dataFields>
  <formats count="1">
    <format dxfId="2">
      <pivotArea collapsedLevelsAreSubtotals="1" fieldPosition="0">
        <references count="1">
          <reference field="1" count="0"/>
        </references>
      </pivotArea>
    </format>
  </formats>
  <chartFormats count="15">
    <chartFormat chart="6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6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6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6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6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6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6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6"/>
          </reference>
        </references>
      </pivotArea>
    </chartFormat>
    <chartFormat chart="6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  <chartFormat chart="6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8"/>
          </reference>
        </references>
      </pivotArea>
    </chartFormat>
    <chartFormat chart="6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9"/>
          </reference>
        </references>
      </pivotArea>
    </chartFormat>
    <chartFormat chart="6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0"/>
          </reference>
        </references>
      </pivotArea>
    </chartFormat>
    <chartFormat chart="6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1"/>
          </reference>
        </references>
      </pivotArea>
    </chartFormat>
    <chartFormat chart="11" format="18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11" format="19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11" format="2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MÊS" xr10:uid="{5EB3D082-C0E0-4DCF-B035-AA176703BF8F}" sourceName="MÊS">
  <pivotTables>
    <pivotTable tabId="5" name="Tabela dinâmica3"/>
    <pivotTable tabId="5" name="Tabela dinâmica1"/>
    <pivotTable tabId="5" name="Tabela dinâmica10"/>
    <pivotTable tabId="5" name="Tabela dinâmica11"/>
    <pivotTable tabId="5" name="Tabela dinâmica12"/>
    <pivotTable tabId="5" name="Tabela dinâmica2"/>
    <pivotTable tabId="5" name="Tabela dinâmica4"/>
    <pivotTable tabId="5" name="Tabela dinâmica6"/>
    <pivotTable tabId="5" name="Tabela dinâmica7"/>
    <pivotTable tabId="5" name="Tabela dinâmica8"/>
    <pivotTable tabId="5" name="Tabela dinâmica9"/>
    <pivotTable tabId="5" name="Tabela dinâmica5"/>
  </pivotTables>
  <data>
    <tabular pivotCacheId="370423611">
      <items count="12">
        <i x="9" s="1"/>
        <i x="0" s="1"/>
        <i x="10" s="1"/>
        <i x="3" s="1"/>
        <i x="8" s="1"/>
        <i x="1" s="1"/>
        <i x="2" s="1"/>
        <i x="11" s="1"/>
        <i x="7" s="1"/>
        <i x="6" s="1"/>
        <i x="4" s="1"/>
        <i x="5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EMPRESA" xr10:uid="{7209D534-458B-45CC-BE19-94417E268C2E}" sourceName="EMPRESA">
  <pivotTables>
    <pivotTable tabId="5" name="Tabela dinâmica11"/>
    <pivotTable tabId="5" name="Tabela dinâmica6"/>
    <pivotTable tabId="5" name="Tabela dinâmica7"/>
    <pivotTable tabId="5" name="Tabela dinâmica5"/>
  </pivotTables>
  <data>
    <tabular pivotCacheId="370423611">
      <items count="3">
        <i x="2" s="1"/>
        <i x="0" s="1"/>
        <i x="1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_PRODUTO" xr10:uid="{D3D4659D-7274-4EF0-84EA-20402D7E1ED6}" sourceName="TIPO PRODUTO">
  <pivotTables>
    <pivotTable tabId="5" name="Tabela dinâmica1"/>
    <pivotTable tabId="5" name="Tabela dinâmica11"/>
    <pivotTable tabId="5" name="Tabela dinâmica2"/>
    <pivotTable tabId="5" name="Tabela dinâmica6"/>
    <pivotTable tabId="5" name="Tabela dinâmica7"/>
    <pivotTable tabId="5" name="Tabela dinâmica5"/>
  </pivotTables>
  <data>
    <tabular pivotCacheId="370423611">
      <items count="5">
        <i x="3" s="1"/>
        <i x="2" s="1"/>
        <i x="4" s="1"/>
        <i x="1" s="1"/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ÊS" xr10:uid="{9C849679-67C8-4818-89C8-25D150EF0FC6}" cache="SegmentaçãodeDados_MÊS" caption="MÊS" columnCount="12" showCaption="0" style="SlicerStyleLight1 2" lockedPosition="1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ÊS 1" xr10:uid="{0AE36F74-0B3B-44E0-84A8-2B12D77F4F85}" cache="SegmentaçãodeDados_MÊS" caption="MÊS" columnCount="12" showCaption="0" style="SlicerStyleLight1 2" lockedPosition="1" rowHeight="241300"/>
  <slicer name="EMPRESA" xr10:uid="{27C689A9-5C5A-4279-ADB1-E0D650140A6F}" cache="SegmentaçãodeDados_EMPRESA" caption="EMPRESA" showCaption="0" style="SlicerStyleLight1 2" lockedPosition="1" rowHeight="241300"/>
  <slicer name="TIPO PRODUTO" xr10:uid="{8550122F-A452-4B65-9373-FBB7F0141A69}" cache="SegmentaçãodeDados_TIPO_PRODUTO" caption="TIPO PRODUTO" showCaption="0" style="SlicerStyleLight1 2" lockedPosition="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6D6CFD-E89B-4F24-89DC-2948EE13E0FC}" name="Tabela2" displayName="Tabela2" ref="A3:I432" totalsRowShown="0" headerRowDxfId="11">
  <autoFilter ref="A3:I432" xr:uid="{7BF5F52D-B82B-4DD7-9F61-EF403F9048D9}"/>
  <tableColumns count="9">
    <tableColumn id="1" xr3:uid="{BF1A2F2F-12BE-4EF9-B700-A329D9222337}" name="ANO" dataDxfId="10" totalsRowDxfId="9">
      <calculatedColumnFormula>YEAR(C4)</calculatedColumnFormula>
    </tableColumn>
    <tableColumn id="2" xr3:uid="{C29DEBCB-E3F3-466D-AD2C-348B69E48381}" name="MÊS" dataDxfId="8" totalsRowDxfId="7">
      <calculatedColumnFormula>UPPER(TEXT(C4,"mmm"))</calculatedColumnFormula>
    </tableColumn>
    <tableColumn id="3" xr3:uid="{57F71C1D-1E57-44EC-8A78-44CEE62446B7}" name="DATA" dataDxfId="6"/>
    <tableColumn id="4" xr3:uid="{E5B6ACA3-7867-4C1E-9743-1DE7096D1A40}" name="EMPRESA"/>
    <tableColumn id="5" xr3:uid="{D7E5E42F-24B5-4F38-8E53-69B8E7B584C2}" name="CLIENTE"/>
    <tableColumn id="6" xr3:uid="{F57A707C-DC1D-42B3-B2F0-4BA1B5047EFD}" name="ESTADO"/>
    <tableColumn id="7" xr3:uid="{07225525-D0BC-4715-81B1-757F55919FC1}" name="TIPO PRODUTO"/>
    <tableColumn id="8" xr3:uid="{570140B5-A401-4EA1-935D-FEB336493F9E}" name="QUANTIDADE - KG" dataDxfId="5"/>
    <tableColumn id="9" xr3:uid="{6371D436-FC1E-4987-B3D7-BC4E1B7B8036}" name="VALOR - R$" dataDxfId="4" totalsRowDxfId="3" dataCellStyle="Moeda">
      <calculatedColumnFormula>SUM(H4*VLOOKUP(G4,Tabela1[],2,FALSE))</calculatedColumnFormula>
    </tableColumn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3E39D6-D498-473A-A027-0794929BF77E}" name="Tabela1" displayName="Tabela1" ref="K4:L9" totalsRowShown="0">
  <autoFilter ref="K4:L9" xr:uid="{4E2042F3-9597-497D-B286-8C5D0F4DEBEE}"/>
  <tableColumns count="2">
    <tableColumn id="1" xr3:uid="{2F0813B8-3312-4C89-A5E8-8E0B66A500D9}" name="PRODUTO"/>
    <tableColumn id="2" xr3:uid="{54711DCC-998E-4626-9AD9-09CABC812917}" name="PREÇO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Salinas Soledad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3E4095"/>
      </a:accent1>
      <a:accent2>
        <a:srgbClr val="0796E4"/>
      </a:accent2>
      <a:accent3>
        <a:srgbClr val="A5A5A5"/>
      </a:accent3>
      <a:accent4>
        <a:srgbClr val="81DEFF"/>
      </a:accent4>
      <a:accent5>
        <a:srgbClr val="3B6EAF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microsoft.com/office/2007/relationships/slicer" Target="../slicers/slicer2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printerSettings" Target="../printerSettings/printerSettings4.bin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7E98-F63F-4593-AF6A-407862C41BAF}">
  <dimension ref="A2:L432"/>
  <sheetViews>
    <sheetView zoomScale="90" zoomScaleNormal="90" workbookViewId="0">
      <selection activeCell="N5" sqref="N5"/>
    </sheetView>
  </sheetViews>
  <sheetFormatPr defaultRowHeight="14.5" x14ac:dyDescent="0.35"/>
  <cols>
    <col min="1" max="2" width="9.1796875" style="1"/>
    <col min="3" max="3" width="13.81640625" style="1" customWidth="1"/>
    <col min="4" max="4" width="15.7265625" customWidth="1"/>
    <col min="5" max="6" width="10.1796875" customWidth="1"/>
    <col min="7" max="7" width="19.26953125" bestFit="1" customWidth="1"/>
    <col min="8" max="8" width="19.26953125" customWidth="1"/>
    <col min="9" max="9" width="17" customWidth="1"/>
  </cols>
  <sheetData>
    <row r="2" spans="1:12" x14ac:dyDescent="0.35">
      <c r="K2" t="s">
        <v>91</v>
      </c>
    </row>
    <row r="3" spans="1:12" x14ac:dyDescent="0.35">
      <c r="A3" s="1" t="s">
        <v>0</v>
      </c>
      <c r="B3" s="1" t="s">
        <v>1</v>
      </c>
      <c r="C3" s="1" t="s">
        <v>2</v>
      </c>
      <c r="D3" t="s">
        <v>3</v>
      </c>
      <c r="E3" s="1" t="s">
        <v>7</v>
      </c>
      <c r="F3" s="1" t="s">
        <v>8</v>
      </c>
      <c r="G3" s="1" t="s">
        <v>4</v>
      </c>
      <c r="H3" s="1" t="s">
        <v>5</v>
      </c>
      <c r="I3" s="1" t="s">
        <v>6</v>
      </c>
      <c r="K3" s="10" t="s">
        <v>40</v>
      </c>
      <c r="L3" s="10"/>
    </row>
    <row r="4" spans="1:12" x14ac:dyDescent="0.35">
      <c r="A4" s="1">
        <f>YEAR(C4)</f>
        <v>2019</v>
      </c>
      <c r="B4" s="1" t="str">
        <f>UPPER(TEXT(C4,"mmm"))</f>
        <v>FEV</v>
      </c>
      <c r="C4" s="2">
        <v>43505</v>
      </c>
      <c r="D4" t="s">
        <v>21</v>
      </c>
      <c r="E4" t="s">
        <v>48</v>
      </c>
      <c r="F4" t="s">
        <v>9</v>
      </c>
      <c r="G4" t="s">
        <v>29</v>
      </c>
      <c r="H4" s="7">
        <v>2274</v>
      </c>
      <c r="I4" s="3">
        <f>SUM(H4*VLOOKUP(G4,Tabela1[],2,FALSE))</f>
        <v>136440</v>
      </c>
      <c r="K4" t="s">
        <v>42</v>
      </c>
      <c r="L4" t="s">
        <v>41</v>
      </c>
    </row>
    <row r="5" spans="1:12" x14ac:dyDescent="0.35">
      <c r="A5" s="1">
        <f t="shared" ref="A5:A124" si="0">YEAR(C5)</f>
        <v>2019</v>
      </c>
      <c r="B5" s="1" t="str">
        <f t="shared" ref="B5:B124" si="1">UPPER(TEXT(C5,"mmm"))</f>
        <v>JUN</v>
      </c>
      <c r="C5" s="2">
        <v>43626</v>
      </c>
      <c r="D5" t="s">
        <v>21</v>
      </c>
      <c r="E5" t="s">
        <v>26</v>
      </c>
      <c r="F5" t="s">
        <v>10</v>
      </c>
      <c r="G5" t="s">
        <v>29</v>
      </c>
      <c r="H5" s="7">
        <v>2646</v>
      </c>
      <c r="I5" s="3">
        <f>SUM(H5*VLOOKUP(G5,Tabela1[],2,FALSE))</f>
        <v>158760</v>
      </c>
      <c r="K5" t="s">
        <v>29</v>
      </c>
      <c r="L5">
        <v>60</v>
      </c>
    </row>
    <row r="6" spans="1:12" x14ac:dyDescent="0.35">
      <c r="A6" s="1">
        <f t="shared" si="0"/>
        <v>2019</v>
      </c>
      <c r="B6" s="1" t="str">
        <f t="shared" si="1"/>
        <v>JUL</v>
      </c>
      <c r="C6" s="2">
        <v>43667</v>
      </c>
      <c r="D6" t="s">
        <v>21</v>
      </c>
      <c r="E6" t="s">
        <v>25</v>
      </c>
      <c r="F6" t="s">
        <v>11</v>
      </c>
      <c r="G6" t="s">
        <v>30</v>
      </c>
      <c r="H6" s="7">
        <v>2569</v>
      </c>
      <c r="I6" s="3">
        <f>SUM(H6*VLOOKUP(G6,Tabela1[],2,FALSE))</f>
        <v>12845</v>
      </c>
      <c r="K6" t="s">
        <v>27</v>
      </c>
      <c r="L6">
        <v>50</v>
      </c>
    </row>
    <row r="7" spans="1:12" x14ac:dyDescent="0.35">
      <c r="A7" s="1">
        <f t="shared" si="0"/>
        <v>2019</v>
      </c>
      <c r="B7" s="1" t="str">
        <f t="shared" si="1"/>
        <v>ABR</v>
      </c>
      <c r="C7" s="2">
        <v>43578</v>
      </c>
      <c r="D7" t="s">
        <v>21</v>
      </c>
      <c r="E7" t="s">
        <v>47</v>
      </c>
      <c r="F7" t="s">
        <v>12</v>
      </c>
      <c r="G7" t="s">
        <v>28</v>
      </c>
      <c r="H7" s="7">
        <v>944</v>
      </c>
      <c r="I7" s="3">
        <f>SUM(H7*VLOOKUP(G7,Tabela1[],2,FALSE))</f>
        <v>47200</v>
      </c>
      <c r="K7" t="s">
        <v>28</v>
      </c>
      <c r="L7">
        <v>50</v>
      </c>
    </row>
    <row r="8" spans="1:12" x14ac:dyDescent="0.35">
      <c r="A8" s="1">
        <f t="shared" si="0"/>
        <v>2019</v>
      </c>
      <c r="B8" s="1" t="str">
        <f t="shared" si="1"/>
        <v>NOV</v>
      </c>
      <c r="C8" s="2">
        <v>43797</v>
      </c>
      <c r="D8" t="s">
        <v>21</v>
      </c>
      <c r="E8" t="s">
        <v>25</v>
      </c>
      <c r="F8" t="s">
        <v>13</v>
      </c>
      <c r="G8" t="s">
        <v>30</v>
      </c>
      <c r="H8" s="7">
        <v>515</v>
      </c>
      <c r="I8" s="3">
        <f>SUM(H8*VLOOKUP(G8,Tabela1[],2,FALSE))</f>
        <v>2575</v>
      </c>
      <c r="K8" t="s">
        <v>30</v>
      </c>
      <c r="L8">
        <v>5</v>
      </c>
    </row>
    <row r="9" spans="1:12" x14ac:dyDescent="0.35">
      <c r="A9" s="1">
        <f t="shared" si="0"/>
        <v>2019</v>
      </c>
      <c r="B9" s="1" t="str">
        <f t="shared" si="1"/>
        <v>FEV</v>
      </c>
      <c r="C9" s="2">
        <v>43510</v>
      </c>
      <c r="D9" t="s">
        <v>21</v>
      </c>
      <c r="E9" t="s">
        <v>49</v>
      </c>
      <c r="F9" t="s">
        <v>14</v>
      </c>
      <c r="G9" t="s">
        <v>27</v>
      </c>
      <c r="H9" s="7">
        <v>1854</v>
      </c>
      <c r="I9" s="3">
        <f>SUM(H9*VLOOKUP(G9,Tabela1[],2,FALSE))</f>
        <v>92700</v>
      </c>
      <c r="K9" t="s">
        <v>31</v>
      </c>
      <c r="L9">
        <v>50</v>
      </c>
    </row>
    <row r="10" spans="1:12" x14ac:dyDescent="0.35">
      <c r="A10" s="1">
        <f t="shared" si="0"/>
        <v>2019</v>
      </c>
      <c r="B10" s="1" t="str">
        <f t="shared" si="1"/>
        <v>DEZ</v>
      </c>
      <c r="C10" s="2">
        <v>43803</v>
      </c>
      <c r="D10" t="s">
        <v>22</v>
      </c>
      <c r="E10" t="s">
        <v>23</v>
      </c>
      <c r="F10" t="s">
        <v>14</v>
      </c>
      <c r="G10" t="s">
        <v>29</v>
      </c>
      <c r="H10" s="7">
        <v>2717</v>
      </c>
      <c r="I10" s="3">
        <f>SUM(H10*VLOOKUP(G10,Tabela1[],2,FALSE))</f>
        <v>163020</v>
      </c>
    </row>
    <row r="11" spans="1:12" x14ac:dyDescent="0.35">
      <c r="A11" s="1">
        <f>YEAR(C11)</f>
        <v>2019</v>
      </c>
      <c r="B11" s="1" t="str">
        <f>UPPER(TEXT(C11,"mmm"))</f>
        <v>JUL</v>
      </c>
      <c r="C11" s="2">
        <v>43650</v>
      </c>
      <c r="D11" t="s">
        <v>22</v>
      </c>
      <c r="E11" t="s">
        <v>48</v>
      </c>
      <c r="F11" t="s">
        <v>9</v>
      </c>
      <c r="G11" t="s">
        <v>29</v>
      </c>
      <c r="H11" s="7">
        <v>4234</v>
      </c>
      <c r="I11" s="3">
        <f>SUM(H11*VLOOKUP(G11,Tabela1[],2,FALSE))</f>
        <v>254040</v>
      </c>
    </row>
    <row r="12" spans="1:12" x14ac:dyDescent="0.35">
      <c r="A12" s="1">
        <f t="shared" ref="A12:A14" si="2">YEAR(C12)</f>
        <v>2019</v>
      </c>
      <c r="B12" s="1" t="str">
        <f t="shared" ref="B12:B14" si="3">UPPER(TEXT(C12,"mmm"))</f>
        <v>JUN</v>
      </c>
      <c r="C12" s="2">
        <v>43624</v>
      </c>
      <c r="D12" t="s">
        <v>20</v>
      </c>
      <c r="E12" t="s">
        <v>26</v>
      </c>
      <c r="F12" t="s">
        <v>10</v>
      </c>
      <c r="G12" t="s">
        <v>29</v>
      </c>
      <c r="H12" s="7">
        <v>4340</v>
      </c>
      <c r="I12" s="3">
        <f>SUM(H12*VLOOKUP(G12,Tabela1[],2,FALSE))</f>
        <v>260400</v>
      </c>
    </row>
    <row r="13" spans="1:12" x14ac:dyDescent="0.35">
      <c r="A13" s="1">
        <f t="shared" si="2"/>
        <v>2019</v>
      </c>
      <c r="B13" s="1" t="str">
        <f t="shared" si="3"/>
        <v>JUL</v>
      </c>
      <c r="C13" s="2">
        <v>43647</v>
      </c>
      <c r="D13" t="s">
        <v>21</v>
      </c>
      <c r="E13" t="s">
        <v>25</v>
      </c>
      <c r="F13" t="s">
        <v>11</v>
      </c>
      <c r="G13" t="s">
        <v>30</v>
      </c>
      <c r="H13" s="7">
        <v>1171</v>
      </c>
      <c r="I13" s="3">
        <f>SUM(H13*VLOOKUP(G13,Tabela1[],2,FALSE))</f>
        <v>5855</v>
      </c>
    </row>
    <row r="14" spans="1:12" x14ac:dyDescent="0.35">
      <c r="A14" s="1">
        <f t="shared" si="2"/>
        <v>2019</v>
      </c>
      <c r="B14" s="1" t="str">
        <f t="shared" si="3"/>
        <v>ABR</v>
      </c>
      <c r="C14" s="2">
        <v>43569</v>
      </c>
      <c r="D14" t="s">
        <v>22</v>
      </c>
      <c r="E14" t="s">
        <v>47</v>
      </c>
      <c r="F14" t="s">
        <v>12</v>
      </c>
      <c r="G14" t="s">
        <v>28</v>
      </c>
      <c r="H14" s="7">
        <v>3912</v>
      </c>
      <c r="I14" s="3">
        <f>SUM(H14*VLOOKUP(G14,Tabela1[],2,FALSE))</f>
        <v>195600</v>
      </c>
    </row>
    <row r="15" spans="1:12" x14ac:dyDescent="0.35">
      <c r="A15" s="1">
        <f t="shared" ref="A15:A17" si="4">YEAR(C15)</f>
        <v>2019</v>
      </c>
      <c r="B15" s="1" t="str">
        <f t="shared" ref="B15:B17" si="5">UPPER(TEXT(C15,"mmm"))</f>
        <v>OUT</v>
      </c>
      <c r="C15" s="2">
        <v>43753</v>
      </c>
      <c r="D15" t="s">
        <v>20</v>
      </c>
      <c r="E15" t="s">
        <v>25</v>
      </c>
      <c r="F15" t="s">
        <v>13</v>
      </c>
      <c r="G15" t="s">
        <v>30</v>
      </c>
      <c r="H15" s="7">
        <v>4339</v>
      </c>
      <c r="I15" s="3">
        <f>SUM(H15*VLOOKUP(G15,Tabela1[],2,FALSE))</f>
        <v>21695</v>
      </c>
    </row>
    <row r="16" spans="1:12" x14ac:dyDescent="0.35">
      <c r="A16" s="1">
        <f t="shared" si="4"/>
        <v>2019</v>
      </c>
      <c r="B16" s="1" t="str">
        <f t="shared" si="5"/>
        <v>JUL</v>
      </c>
      <c r="C16" s="2">
        <v>43661</v>
      </c>
      <c r="D16" t="s">
        <v>20</v>
      </c>
      <c r="E16" t="s">
        <v>49</v>
      </c>
      <c r="F16" t="s">
        <v>14</v>
      </c>
      <c r="G16" t="s">
        <v>27</v>
      </c>
      <c r="H16" s="7">
        <v>2452</v>
      </c>
      <c r="I16" s="3">
        <f>SUM(H16*VLOOKUP(G16,Tabela1[],2,FALSE))</f>
        <v>122600</v>
      </c>
    </row>
    <row r="17" spans="1:9" x14ac:dyDescent="0.35">
      <c r="A17" s="1">
        <f t="shared" si="4"/>
        <v>2019</v>
      </c>
      <c r="B17" s="1" t="str">
        <f t="shared" si="5"/>
        <v>DEZ</v>
      </c>
      <c r="C17" s="2">
        <v>43811</v>
      </c>
      <c r="D17" t="s">
        <v>20</v>
      </c>
      <c r="E17" t="s">
        <v>23</v>
      </c>
      <c r="F17" t="s">
        <v>14</v>
      </c>
      <c r="G17" t="s">
        <v>29</v>
      </c>
      <c r="H17" s="7">
        <v>2758</v>
      </c>
      <c r="I17" s="3">
        <f>SUM(H17*VLOOKUP(G17,Tabela1[],2,FALSE))</f>
        <v>165480</v>
      </c>
    </row>
    <row r="18" spans="1:9" x14ac:dyDescent="0.35">
      <c r="A18" s="1">
        <f>YEAR(C18)</f>
        <v>2019</v>
      </c>
      <c r="B18" s="1" t="str">
        <f>UPPER(TEXT(C18,"mmm"))</f>
        <v>JUL</v>
      </c>
      <c r="C18" s="2">
        <v>43657</v>
      </c>
      <c r="D18" s="14" t="s">
        <v>20</v>
      </c>
      <c r="E18" t="s">
        <v>48</v>
      </c>
      <c r="F18" t="s">
        <v>9</v>
      </c>
      <c r="G18" t="s">
        <v>29</v>
      </c>
      <c r="H18" s="7">
        <v>2353</v>
      </c>
      <c r="I18" s="3">
        <f>SUM(H18*VLOOKUP(G18,Tabela1[],2,FALSE))</f>
        <v>141180</v>
      </c>
    </row>
    <row r="19" spans="1:9" x14ac:dyDescent="0.35">
      <c r="A19" s="1">
        <f t="shared" ref="A19:A24" si="6">YEAR(C19)</f>
        <v>2019</v>
      </c>
      <c r="B19" s="1" t="str">
        <f t="shared" ref="B19:B24" si="7">UPPER(TEXT(C19,"mmm"))</f>
        <v>DEZ</v>
      </c>
      <c r="C19" s="2">
        <v>43824</v>
      </c>
      <c r="D19" s="14" t="s">
        <v>21</v>
      </c>
      <c r="E19" t="s">
        <v>26</v>
      </c>
      <c r="F19" t="s">
        <v>10</v>
      </c>
      <c r="G19" t="s">
        <v>29</v>
      </c>
      <c r="H19" s="7">
        <v>559</v>
      </c>
      <c r="I19" s="3">
        <f>SUM(H19*VLOOKUP(G19,Tabela1[],2,FALSE))</f>
        <v>33540</v>
      </c>
    </row>
    <row r="20" spans="1:9" x14ac:dyDescent="0.35">
      <c r="A20" s="1">
        <f t="shared" si="6"/>
        <v>2019</v>
      </c>
      <c r="B20" s="1" t="str">
        <f t="shared" si="7"/>
        <v>FEV</v>
      </c>
      <c r="C20" s="2">
        <v>43501</v>
      </c>
      <c r="D20" s="14" t="s">
        <v>21</v>
      </c>
      <c r="E20" t="s">
        <v>25</v>
      </c>
      <c r="F20" t="s">
        <v>11</v>
      </c>
      <c r="G20" t="s">
        <v>30</v>
      </c>
      <c r="H20" s="7">
        <v>3732</v>
      </c>
      <c r="I20" s="3">
        <f>SUM(H20*VLOOKUP(G20,Tabela1[],2,FALSE))</f>
        <v>18660</v>
      </c>
    </row>
    <row r="21" spans="1:9" x14ac:dyDescent="0.35">
      <c r="A21" s="1">
        <f t="shared" si="6"/>
        <v>2019</v>
      </c>
      <c r="B21" s="1" t="str">
        <f t="shared" si="7"/>
        <v>DEZ</v>
      </c>
      <c r="C21" s="2">
        <v>43808</v>
      </c>
      <c r="D21" s="14" t="s">
        <v>22</v>
      </c>
      <c r="E21" t="s">
        <v>47</v>
      </c>
      <c r="F21" t="s">
        <v>12</v>
      </c>
      <c r="G21" t="s">
        <v>28</v>
      </c>
      <c r="H21" s="7">
        <v>1600</v>
      </c>
      <c r="I21" s="3">
        <f>SUM(H21*VLOOKUP(G21,Tabela1[],2,FALSE))</f>
        <v>80000</v>
      </c>
    </row>
    <row r="22" spans="1:9" x14ac:dyDescent="0.35">
      <c r="A22" s="1">
        <f t="shared" si="6"/>
        <v>2019</v>
      </c>
      <c r="B22" s="1" t="str">
        <f t="shared" si="7"/>
        <v>SET</v>
      </c>
      <c r="C22" s="2">
        <v>43738</v>
      </c>
      <c r="D22" s="14" t="s">
        <v>21</v>
      </c>
      <c r="E22" t="s">
        <v>25</v>
      </c>
      <c r="F22" t="s">
        <v>13</v>
      </c>
      <c r="G22" t="s">
        <v>30</v>
      </c>
      <c r="H22" s="7">
        <v>1658</v>
      </c>
      <c r="I22" s="3">
        <f>SUM(H22*VLOOKUP(G22,Tabela1[],2,FALSE))</f>
        <v>8290</v>
      </c>
    </row>
    <row r="23" spans="1:9" x14ac:dyDescent="0.35">
      <c r="A23" s="1">
        <f t="shared" si="6"/>
        <v>2019</v>
      </c>
      <c r="B23" s="1" t="str">
        <f t="shared" si="7"/>
        <v>MAI</v>
      </c>
      <c r="C23" s="2">
        <v>43614</v>
      </c>
      <c r="D23" s="14" t="s">
        <v>21</v>
      </c>
      <c r="E23" t="s">
        <v>49</v>
      </c>
      <c r="F23" t="s">
        <v>14</v>
      </c>
      <c r="G23" t="s">
        <v>27</v>
      </c>
      <c r="H23" s="7">
        <v>935</v>
      </c>
      <c r="I23" s="3">
        <f>SUM(H23*VLOOKUP(G23,Tabela1[],2,FALSE))</f>
        <v>46750</v>
      </c>
    </row>
    <row r="24" spans="1:9" x14ac:dyDescent="0.35">
      <c r="A24" s="1">
        <f t="shared" si="6"/>
        <v>2019</v>
      </c>
      <c r="B24" s="1" t="str">
        <f t="shared" si="7"/>
        <v>MAI</v>
      </c>
      <c r="C24" s="2">
        <v>43606</v>
      </c>
      <c r="D24" s="14" t="s">
        <v>21</v>
      </c>
      <c r="E24" t="s">
        <v>23</v>
      </c>
      <c r="F24" t="s">
        <v>14</v>
      </c>
      <c r="G24" t="s">
        <v>29</v>
      </c>
      <c r="H24" s="7">
        <v>3946</v>
      </c>
      <c r="I24" s="3">
        <f>SUM(H24*VLOOKUP(G24,Tabela1[],2,FALSE))</f>
        <v>236760</v>
      </c>
    </row>
    <row r="25" spans="1:9" x14ac:dyDescent="0.35">
      <c r="A25" s="1">
        <f>YEAR(C25)</f>
        <v>2019</v>
      </c>
      <c r="B25" s="1" t="str">
        <f>UPPER(TEXT(C25,"mmm"))</f>
        <v>OUT</v>
      </c>
      <c r="C25" s="2">
        <v>43756</v>
      </c>
      <c r="D25" s="14" t="s">
        <v>21</v>
      </c>
      <c r="E25" t="s">
        <v>48</v>
      </c>
      <c r="F25" t="s">
        <v>9</v>
      </c>
      <c r="G25" t="s">
        <v>29</v>
      </c>
      <c r="H25" s="7">
        <v>4883</v>
      </c>
      <c r="I25" s="3">
        <f>SUM(H25*VLOOKUP(G25,Tabela1[],2,FALSE))</f>
        <v>292980</v>
      </c>
    </row>
    <row r="26" spans="1:9" x14ac:dyDescent="0.35">
      <c r="A26" s="1">
        <f t="shared" ref="A26:A31" si="8">YEAR(C26)</f>
        <v>2019</v>
      </c>
      <c r="B26" s="1" t="str">
        <f t="shared" ref="B26:B31" si="9">UPPER(TEXT(C26,"mmm"))</f>
        <v>OUT</v>
      </c>
      <c r="C26" s="2">
        <v>43766</v>
      </c>
      <c r="D26" s="14" t="s">
        <v>21</v>
      </c>
      <c r="E26" t="s">
        <v>26</v>
      </c>
      <c r="F26" t="s">
        <v>10</v>
      </c>
      <c r="G26" t="s">
        <v>29</v>
      </c>
      <c r="H26" s="7">
        <v>4174</v>
      </c>
      <c r="I26" s="3">
        <f>SUM(H26*VLOOKUP(G26,Tabela1[],2,FALSE))</f>
        <v>250440</v>
      </c>
    </row>
    <row r="27" spans="1:9" x14ac:dyDescent="0.35">
      <c r="A27" s="1">
        <f t="shared" si="8"/>
        <v>2019</v>
      </c>
      <c r="B27" s="1" t="str">
        <f t="shared" si="9"/>
        <v>NOV</v>
      </c>
      <c r="C27" s="2">
        <v>43770</v>
      </c>
      <c r="D27" s="14" t="s">
        <v>21</v>
      </c>
      <c r="E27" t="s">
        <v>25</v>
      </c>
      <c r="F27" t="s">
        <v>11</v>
      </c>
      <c r="G27" t="s">
        <v>30</v>
      </c>
      <c r="H27" s="7">
        <v>1498</v>
      </c>
      <c r="I27" s="3">
        <f>SUM(H27*VLOOKUP(G27,Tabela1[],2,FALSE))</f>
        <v>7490</v>
      </c>
    </row>
    <row r="28" spans="1:9" x14ac:dyDescent="0.35">
      <c r="A28" s="1">
        <f t="shared" si="8"/>
        <v>2019</v>
      </c>
      <c r="B28" s="1" t="str">
        <f t="shared" si="9"/>
        <v>DEZ</v>
      </c>
      <c r="C28" s="2">
        <v>43824</v>
      </c>
      <c r="D28" s="14" t="s">
        <v>21</v>
      </c>
      <c r="E28" t="s">
        <v>47</v>
      </c>
      <c r="F28" t="s">
        <v>12</v>
      </c>
      <c r="G28" t="s">
        <v>28</v>
      </c>
      <c r="H28" s="7">
        <v>3174</v>
      </c>
      <c r="I28" s="3">
        <f>SUM(H28*VLOOKUP(G28,Tabela1[],2,FALSE))</f>
        <v>158700</v>
      </c>
    </row>
    <row r="29" spans="1:9" x14ac:dyDescent="0.35">
      <c r="A29" s="1">
        <f t="shared" si="8"/>
        <v>2019</v>
      </c>
      <c r="B29" s="1" t="str">
        <f t="shared" si="9"/>
        <v>JAN</v>
      </c>
      <c r="C29" s="2">
        <v>43480</v>
      </c>
      <c r="D29" s="14" t="s">
        <v>21</v>
      </c>
      <c r="E29" t="s">
        <v>25</v>
      </c>
      <c r="F29" t="s">
        <v>13</v>
      </c>
      <c r="G29" t="s">
        <v>30</v>
      </c>
      <c r="H29" s="7">
        <v>3336</v>
      </c>
      <c r="I29" s="3">
        <f>SUM(H29*VLOOKUP(G29,Tabela1[],2,FALSE))</f>
        <v>16680</v>
      </c>
    </row>
    <row r="30" spans="1:9" x14ac:dyDescent="0.35">
      <c r="A30" s="1">
        <f t="shared" si="8"/>
        <v>2019</v>
      </c>
      <c r="B30" s="1" t="str">
        <f t="shared" si="9"/>
        <v>JUN</v>
      </c>
      <c r="C30" s="2">
        <v>43633</v>
      </c>
      <c r="D30" s="14" t="s">
        <v>22</v>
      </c>
      <c r="E30" t="s">
        <v>49</v>
      </c>
      <c r="F30" t="s">
        <v>14</v>
      </c>
      <c r="G30" t="s">
        <v>27</v>
      </c>
      <c r="H30" s="7">
        <v>2462</v>
      </c>
      <c r="I30" s="3">
        <f>SUM(H30*VLOOKUP(G30,Tabela1[],2,FALSE))</f>
        <v>123100</v>
      </c>
    </row>
    <row r="31" spans="1:9" x14ac:dyDescent="0.35">
      <c r="A31" s="1">
        <f t="shared" si="8"/>
        <v>2019</v>
      </c>
      <c r="B31" s="1" t="str">
        <f t="shared" si="9"/>
        <v>FEV</v>
      </c>
      <c r="C31" s="2">
        <v>43510</v>
      </c>
      <c r="D31" s="14" t="s">
        <v>22</v>
      </c>
      <c r="E31" t="s">
        <v>23</v>
      </c>
      <c r="F31" t="s">
        <v>14</v>
      </c>
      <c r="G31" t="s">
        <v>29</v>
      </c>
      <c r="H31" s="7">
        <v>4427</v>
      </c>
      <c r="I31" s="3">
        <f>SUM(H31*VLOOKUP(G31,Tabela1[],2,FALSE))</f>
        <v>265620</v>
      </c>
    </row>
    <row r="32" spans="1:9" x14ac:dyDescent="0.35">
      <c r="A32" s="1">
        <f>YEAR(C32)</f>
        <v>2019</v>
      </c>
      <c r="B32" s="1" t="str">
        <f>UPPER(TEXT(C32,"mmm"))</f>
        <v>FEV</v>
      </c>
      <c r="C32" s="2">
        <v>43503</v>
      </c>
      <c r="D32" s="14" t="s">
        <v>22</v>
      </c>
      <c r="E32" t="s">
        <v>48</v>
      </c>
      <c r="F32" t="s">
        <v>9</v>
      </c>
      <c r="G32" t="s">
        <v>29</v>
      </c>
      <c r="H32" s="7">
        <v>2824</v>
      </c>
      <c r="I32" s="3">
        <f>SUM(H32*VLOOKUP(G32,Tabela1[],2,FALSE))</f>
        <v>169440</v>
      </c>
    </row>
    <row r="33" spans="1:9" x14ac:dyDescent="0.35">
      <c r="A33" s="1">
        <f t="shared" ref="A33:A38" si="10">YEAR(C33)</f>
        <v>2019</v>
      </c>
      <c r="B33" s="1" t="str">
        <f t="shared" ref="B33:B38" si="11">UPPER(TEXT(C33,"mmm"))</f>
        <v>MAR</v>
      </c>
      <c r="C33" s="2">
        <v>43529</v>
      </c>
      <c r="D33" s="14" t="s">
        <v>22</v>
      </c>
      <c r="E33" t="s">
        <v>26</v>
      </c>
      <c r="F33" t="s">
        <v>10</v>
      </c>
      <c r="G33" t="s">
        <v>29</v>
      </c>
      <c r="H33" s="7">
        <v>3527</v>
      </c>
      <c r="I33" s="3">
        <f>SUM(H33*VLOOKUP(G33,Tabela1[],2,FALSE))</f>
        <v>211620</v>
      </c>
    </row>
    <row r="34" spans="1:9" x14ac:dyDescent="0.35">
      <c r="A34" s="1">
        <f t="shared" si="10"/>
        <v>2019</v>
      </c>
      <c r="B34" s="1" t="str">
        <f t="shared" si="11"/>
        <v>OUT</v>
      </c>
      <c r="C34" s="2">
        <v>43767</v>
      </c>
      <c r="D34" s="14" t="s">
        <v>22</v>
      </c>
      <c r="E34" t="s">
        <v>25</v>
      </c>
      <c r="F34" t="s">
        <v>11</v>
      </c>
      <c r="G34" t="s">
        <v>30</v>
      </c>
      <c r="H34" s="7">
        <v>2011</v>
      </c>
      <c r="I34" s="3">
        <f>SUM(H34*VLOOKUP(G34,Tabela1[],2,FALSE))</f>
        <v>10055</v>
      </c>
    </row>
    <row r="35" spans="1:9" x14ac:dyDescent="0.35">
      <c r="A35" s="1">
        <f t="shared" si="10"/>
        <v>2019</v>
      </c>
      <c r="B35" s="1" t="str">
        <f t="shared" si="11"/>
        <v>JAN</v>
      </c>
      <c r="C35" s="2">
        <v>43493</v>
      </c>
      <c r="D35" s="14" t="s">
        <v>22</v>
      </c>
      <c r="E35" t="s">
        <v>47</v>
      </c>
      <c r="F35" t="s">
        <v>12</v>
      </c>
      <c r="G35" t="s">
        <v>28</v>
      </c>
      <c r="H35" s="7">
        <v>1336</v>
      </c>
      <c r="I35" s="3">
        <f>SUM(H35*VLOOKUP(G35,Tabela1[],2,FALSE))</f>
        <v>66800</v>
      </c>
    </row>
    <row r="36" spans="1:9" x14ac:dyDescent="0.35">
      <c r="A36" s="1">
        <f t="shared" si="10"/>
        <v>2019</v>
      </c>
      <c r="B36" s="1" t="str">
        <f t="shared" si="11"/>
        <v>SET</v>
      </c>
      <c r="C36" s="2">
        <v>43723</v>
      </c>
      <c r="D36" s="14" t="s">
        <v>20</v>
      </c>
      <c r="E36" t="s">
        <v>25</v>
      </c>
      <c r="F36" t="s">
        <v>13</v>
      </c>
      <c r="G36" t="s">
        <v>30</v>
      </c>
      <c r="H36" s="7">
        <v>2074</v>
      </c>
      <c r="I36" s="3">
        <f>SUM(H36*VLOOKUP(G36,Tabela1[],2,FALSE))</f>
        <v>10370</v>
      </c>
    </row>
    <row r="37" spans="1:9" x14ac:dyDescent="0.35">
      <c r="A37" s="1">
        <f t="shared" si="10"/>
        <v>2019</v>
      </c>
      <c r="B37" s="1" t="str">
        <f t="shared" si="11"/>
        <v>DEZ</v>
      </c>
      <c r="C37" s="2">
        <v>43803</v>
      </c>
      <c r="D37" s="14" t="s">
        <v>21</v>
      </c>
      <c r="E37" t="s">
        <v>49</v>
      </c>
      <c r="F37" t="s">
        <v>14</v>
      </c>
      <c r="G37" t="s">
        <v>27</v>
      </c>
      <c r="H37" s="7">
        <v>2430</v>
      </c>
      <c r="I37" s="3">
        <f>SUM(H37*VLOOKUP(G37,Tabela1[],2,FALSE))</f>
        <v>121500</v>
      </c>
    </row>
    <row r="38" spans="1:9" x14ac:dyDescent="0.35">
      <c r="A38" s="1">
        <f t="shared" si="10"/>
        <v>2019</v>
      </c>
      <c r="B38" s="1" t="str">
        <f t="shared" si="11"/>
        <v>JUN</v>
      </c>
      <c r="C38" s="2">
        <v>43618</v>
      </c>
      <c r="D38" s="14" t="s">
        <v>22</v>
      </c>
      <c r="E38" t="s">
        <v>23</v>
      </c>
      <c r="F38" t="s">
        <v>14</v>
      </c>
      <c r="G38" t="s">
        <v>29</v>
      </c>
      <c r="H38" s="7">
        <v>1108</v>
      </c>
      <c r="I38" s="3">
        <f>SUM(H38*VLOOKUP(G38,Tabela1[],2,FALSE))</f>
        <v>66480</v>
      </c>
    </row>
    <row r="39" spans="1:9" x14ac:dyDescent="0.35">
      <c r="A39" s="1">
        <f>YEAR(C39)</f>
        <v>2019</v>
      </c>
      <c r="B39" s="1" t="str">
        <f>UPPER(TEXT(C39,"mmm"))</f>
        <v>AGO</v>
      </c>
      <c r="C39" s="2">
        <v>43690</v>
      </c>
      <c r="D39" s="14" t="s">
        <v>20</v>
      </c>
      <c r="E39" t="s">
        <v>48</v>
      </c>
      <c r="F39" t="s">
        <v>9</v>
      </c>
      <c r="G39" t="s">
        <v>29</v>
      </c>
      <c r="H39" s="7">
        <v>1111</v>
      </c>
      <c r="I39" s="3">
        <f>SUM(H39*VLOOKUP(G39,Tabela1[],2,FALSE))</f>
        <v>66660</v>
      </c>
    </row>
    <row r="40" spans="1:9" x14ac:dyDescent="0.35">
      <c r="A40" s="1">
        <f t="shared" ref="A40:A42" si="12">YEAR(C40)</f>
        <v>2019</v>
      </c>
      <c r="B40" s="1" t="str">
        <f t="shared" ref="B40:B42" si="13">UPPER(TEXT(C40,"mmm"))</f>
        <v>OUT</v>
      </c>
      <c r="C40" s="2">
        <v>43749</v>
      </c>
      <c r="D40" s="14" t="s">
        <v>20</v>
      </c>
      <c r="E40" t="s">
        <v>26</v>
      </c>
      <c r="F40" t="s">
        <v>10</v>
      </c>
      <c r="G40" t="s">
        <v>29</v>
      </c>
      <c r="H40" s="7">
        <v>524</v>
      </c>
      <c r="I40" s="3">
        <f>SUM(H40*VLOOKUP(G40,Tabela1[],2,FALSE))</f>
        <v>31440</v>
      </c>
    </row>
    <row r="41" spans="1:9" x14ac:dyDescent="0.35">
      <c r="A41" s="1">
        <f t="shared" si="12"/>
        <v>2019</v>
      </c>
      <c r="B41" s="1" t="str">
        <f t="shared" si="13"/>
        <v>ABR</v>
      </c>
      <c r="C41" s="2">
        <v>43578</v>
      </c>
      <c r="D41" s="14" t="s">
        <v>20</v>
      </c>
      <c r="E41" t="s">
        <v>25</v>
      </c>
      <c r="F41" t="s">
        <v>11</v>
      </c>
      <c r="G41" t="s">
        <v>30</v>
      </c>
      <c r="H41" s="7">
        <v>3628</v>
      </c>
      <c r="I41" s="3">
        <f>SUM(H41*VLOOKUP(G41,Tabela1[],2,FALSE))</f>
        <v>18140</v>
      </c>
    </row>
    <row r="42" spans="1:9" x14ac:dyDescent="0.35">
      <c r="A42" s="1">
        <f t="shared" si="12"/>
        <v>2019</v>
      </c>
      <c r="B42" s="1" t="str">
        <f t="shared" si="13"/>
        <v>MAI</v>
      </c>
      <c r="C42" s="2">
        <v>43602</v>
      </c>
      <c r="D42" s="14" t="s">
        <v>20</v>
      </c>
      <c r="E42" t="s">
        <v>47</v>
      </c>
      <c r="F42" t="s">
        <v>12</v>
      </c>
      <c r="G42" t="s">
        <v>28</v>
      </c>
      <c r="H42" s="7">
        <v>2465</v>
      </c>
      <c r="I42" s="3">
        <f>SUM(H42*VLOOKUP(G42,Tabela1[],2,FALSE))</f>
        <v>123250</v>
      </c>
    </row>
    <row r="43" spans="1:9" x14ac:dyDescent="0.35">
      <c r="A43" s="1">
        <f t="shared" ref="A43:A48" si="14">YEAR(C43)</f>
        <v>2019</v>
      </c>
      <c r="B43" s="1" t="str">
        <f t="shared" ref="B43:B48" si="15">UPPER(TEXT(C43,"mmm"))</f>
        <v>NOV</v>
      </c>
      <c r="C43" s="2">
        <v>43796</v>
      </c>
      <c r="D43" t="s">
        <v>21</v>
      </c>
      <c r="E43" t="s">
        <v>26</v>
      </c>
      <c r="F43" t="s">
        <v>10</v>
      </c>
      <c r="G43" t="s">
        <v>29</v>
      </c>
      <c r="H43" s="7">
        <v>827</v>
      </c>
      <c r="I43" s="3">
        <f>SUM(H43*VLOOKUP(G43,Tabela1[],2,FALSE))</f>
        <v>49620</v>
      </c>
    </row>
    <row r="44" spans="1:9" x14ac:dyDescent="0.35">
      <c r="A44" s="1">
        <f t="shared" si="14"/>
        <v>2019</v>
      </c>
      <c r="B44" s="1" t="str">
        <f t="shared" si="15"/>
        <v>JAN</v>
      </c>
      <c r="C44" s="2">
        <v>43473</v>
      </c>
      <c r="D44" t="s">
        <v>21</v>
      </c>
      <c r="E44" t="s">
        <v>25</v>
      </c>
      <c r="F44" t="s">
        <v>11</v>
      </c>
      <c r="G44" t="s">
        <v>30</v>
      </c>
      <c r="H44" s="7">
        <v>3719</v>
      </c>
      <c r="I44" s="3">
        <f>SUM(H44*VLOOKUP(G44,Tabela1[],2,FALSE))</f>
        <v>18595</v>
      </c>
    </row>
    <row r="45" spans="1:9" x14ac:dyDescent="0.35">
      <c r="A45" s="1">
        <f t="shared" si="14"/>
        <v>2019</v>
      </c>
      <c r="B45" s="1" t="str">
        <f t="shared" si="15"/>
        <v>NOV</v>
      </c>
      <c r="C45" s="2">
        <v>43789</v>
      </c>
      <c r="D45" t="s">
        <v>21</v>
      </c>
      <c r="E45" t="s">
        <v>47</v>
      </c>
      <c r="F45" t="s">
        <v>12</v>
      </c>
      <c r="G45" t="s">
        <v>28</v>
      </c>
      <c r="H45" s="7">
        <v>3572</v>
      </c>
      <c r="I45" s="3">
        <f>SUM(H45*VLOOKUP(G45,Tabela1[],2,FALSE))</f>
        <v>178600</v>
      </c>
    </row>
    <row r="46" spans="1:9" x14ac:dyDescent="0.35">
      <c r="A46" s="1">
        <f t="shared" si="14"/>
        <v>2019</v>
      </c>
      <c r="B46" s="1" t="str">
        <f t="shared" si="15"/>
        <v>DEZ</v>
      </c>
      <c r="C46" s="2">
        <v>43804</v>
      </c>
      <c r="D46" t="s">
        <v>21</v>
      </c>
      <c r="E46" t="s">
        <v>25</v>
      </c>
      <c r="F46" t="s">
        <v>13</v>
      </c>
      <c r="G46" t="s">
        <v>30</v>
      </c>
      <c r="H46" s="7">
        <v>4275</v>
      </c>
      <c r="I46" s="3">
        <f>SUM(H46*VLOOKUP(G46,Tabela1[],2,FALSE))</f>
        <v>21375</v>
      </c>
    </row>
    <row r="47" spans="1:9" x14ac:dyDescent="0.35">
      <c r="A47" s="1">
        <f t="shared" si="14"/>
        <v>2019</v>
      </c>
      <c r="B47" s="1" t="str">
        <f t="shared" si="15"/>
        <v>ABR</v>
      </c>
      <c r="C47" s="2">
        <v>43565</v>
      </c>
      <c r="D47" t="s">
        <v>21</v>
      </c>
      <c r="E47" t="s">
        <v>49</v>
      </c>
      <c r="F47" t="s">
        <v>14</v>
      </c>
      <c r="G47" t="s">
        <v>27</v>
      </c>
      <c r="H47" s="7">
        <v>4546</v>
      </c>
      <c r="I47" s="3">
        <f>SUM(H47*VLOOKUP(G47,Tabela1[],2,FALSE))</f>
        <v>227300</v>
      </c>
    </row>
    <row r="48" spans="1:9" x14ac:dyDescent="0.35">
      <c r="A48" s="1">
        <f t="shared" si="14"/>
        <v>2019</v>
      </c>
      <c r="B48" s="1" t="str">
        <f t="shared" si="15"/>
        <v>JAN</v>
      </c>
      <c r="C48" s="2">
        <v>43478</v>
      </c>
      <c r="D48" t="s">
        <v>21</v>
      </c>
      <c r="E48" t="s">
        <v>23</v>
      </c>
      <c r="F48" t="s">
        <v>14</v>
      </c>
      <c r="G48" t="s">
        <v>29</v>
      </c>
      <c r="H48" s="7">
        <v>3782</v>
      </c>
      <c r="I48" s="3">
        <f>SUM(H48*VLOOKUP(G48,Tabela1[],2,FALSE))</f>
        <v>226920</v>
      </c>
    </row>
    <row r="49" spans="1:9" x14ac:dyDescent="0.35">
      <c r="A49" s="1">
        <f>YEAR(C49)</f>
        <v>2019</v>
      </c>
      <c r="B49" s="1" t="str">
        <f>UPPER(TEXT(C49,"mmm"))</f>
        <v>DEZ</v>
      </c>
      <c r="C49" s="2">
        <v>43818</v>
      </c>
      <c r="D49" t="s">
        <v>21</v>
      </c>
      <c r="E49" t="s">
        <v>48</v>
      </c>
      <c r="F49" t="s">
        <v>9</v>
      </c>
      <c r="G49" t="s">
        <v>29</v>
      </c>
      <c r="H49" s="7">
        <v>1660</v>
      </c>
      <c r="I49" s="3">
        <f>SUM(H49*VLOOKUP(G49,Tabela1[],2,FALSE))</f>
        <v>99600</v>
      </c>
    </row>
    <row r="50" spans="1:9" x14ac:dyDescent="0.35">
      <c r="A50" s="1">
        <f t="shared" ref="A50:A54" si="16">YEAR(C50)</f>
        <v>2019</v>
      </c>
      <c r="B50" s="1" t="str">
        <f t="shared" ref="B50:B54" si="17">UPPER(TEXT(C50,"mmm"))</f>
        <v>JAN</v>
      </c>
      <c r="C50" s="2">
        <v>43485</v>
      </c>
      <c r="D50" t="s">
        <v>21</v>
      </c>
      <c r="E50" t="s">
        <v>25</v>
      </c>
      <c r="F50" t="s">
        <v>11</v>
      </c>
      <c r="G50" t="s">
        <v>30</v>
      </c>
      <c r="H50" s="7">
        <v>2344</v>
      </c>
      <c r="I50" s="3">
        <f>SUM(H50*VLOOKUP(G50,Tabela1[],2,FALSE))</f>
        <v>11720</v>
      </c>
    </row>
    <row r="51" spans="1:9" x14ac:dyDescent="0.35">
      <c r="A51" s="1">
        <f t="shared" si="16"/>
        <v>2019</v>
      </c>
      <c r="B51" s="1" t="str">
        <f t="shared" si="17"/>
        <v>JUL</v>
      </c>
      <c r="C51" s="2">
        <v>43672</v>
      </c>
      <c r="D51" t="s">
        <v>21</v>
      </c>
      <c r="E51" t="s">
        <v>47</v>
      </c>
      <c r="F51" t="s">
        <v>12</v>
      </c>
      <c r="G51" t="s">
        <v>28</v>
      </c>
      <c r="H51" s="7">
        <v>714</v>
      </c>
      <c r="I51" s="3">
        <f>SUM(H51*VLOOKUP(G51,Tabela1[],2,FALSE))</f>
        <v>35700</v>
      </c>
    </row>
    <row r="52" spans="1:9" x14ac:dyDescent="0.35">
      <c r="A52" s="1">
        <f t="shared" si="16"/>
        <v>2019</v>
      </c>
      <c r="B52" s="1" t="str">
        <f t="shared" si="17"/>
        <v>NOV</v>
      </c>
      <c r="C52" s="2">
        <v>43796</v>
      </c>
      <c r="D52" t="s">
        <v>21</v>
      </c>
      <c r="E52" t="s">
        <v>25</v>
      </c>
      <c r="F52" t="s">
        <v>13</v>
      </c>
      <c r="G52" t="s">
        <v>30</v>
      </c>
      <c r="H52" s="7">
        <v>3899</v>
      </c>
      <c r="I52" s="3">
        <f>SUM(H52*VLOOKUP(G52,Tabela1[],2,FALSE))</f>
        <v>19495</v>
      </c>
    </row>
    <row r="53" spans="1:9" x14ac:dyDescent="0.35">
      <c r="A53" s="1">
        <f t="shared" si="16"/>
        <v>2019</v>
      </c>
      <c r="B53" s="1" t="str">
        <f t="shared" si="17"/>
        <v>JUN</v>
      </c>
      <c r="C53" s="2">
        <v>43632</v>
      </c>
      <c r="D53" t="s">
        <v>21</v>
      </c>
      <c r="E53" t="s">
        <v>49</v>
      </c>
      <c r="F53" t="s">
        <v>14</v>
      </c>
      <c r="G53" t="s">
        <v>27</v>
      </c>
      <c r="H53" s="7">
        <v>3019</v>
      </c>
      <c r="I53" s="3">
        <f>SUM(H53*VLOOKUP(G53,Tabela1[],2,FALSE))</f>
        <v>150950</v>
      </c>
    </row>
    <row r="54" spans="1:9" x14ac:dyDescent="0.35">
      <c r="A54" s="1">
        <f t="shared" si="16"/>
        <v>2019</v>
      </c>
      <c r="B54" s="1" t="str">
        <f t="shared" si="17"/>
        <v>SET</v>
      </c>
      <c r="C54" s="2">
        <v>43734</v>
      </c>
      <c r="D54" t="s">
        <v>21</v>
      </c>
      <c r="E54" t="s">
        <v>23</v>
      </c>
      <c r="F54" t="s">
        <v>14</v>
      </c>
      <c r="G54" t="s">
        <v>29</v>
      </c>
      <c r="H54" s="7">
        <v>3329</v>
      </c>
      <c r="I54" s="3">
        <f>SUM(H54*VLOOKUP(G54,Tabela1[],2,FALSE))</f>
        <v>199740</v>
      </c>
    </row>
    <row r="55" spans="1:9" x14ac:dyDescent="0.35">
      <c r="A55" s="1">
        <f>YEAR(C55)</f>
        <v>2019</v>
      </c>
      <c r="B55" s="1" t="str">
        <f>UPPER(TEXT(C55,"mmm"))</f>
        <v>SET</v>
      </c>
      <c r="C55" s="2">
        <v>43736</v>
      </c>
      <c r="D55" t="s">
        <v>21</v>
      </c>
      <c r="E55" t="s">
        <v>48</v>
      </c>
      <c r="F55" t="s">
        <v>9</v>
      </c>
      <c r="G55" t="s">
        <v>29</v>
      </c>
      <c r="H55" s="7">
        <v>2892</v>
      </c>
      <c r="I55" s="3">
        <f>SUM(H55*VLOOKUP(G55,Tabela1[],2,FALSE))</f>
        <v>173520</v>
      </c>
    </row>
    <row r="56" spans="1:9" x14ac:dyDescent="0.35">
      <c r="A56" s="1">
        <f t="shared" ref="A56:A61" si="18">YEAR(C56)</f>
        <v>2019</v>
      </c>
      <c r="B56" s="1" t="str">
        <f t="shared" ref="B56:B61" si="19">UPPER(TEXT(C56,"mmm"))</f>
        <v>NOV</v>
      </c>
      <c r="C56" s="2">
        <v>43791</v>
      </c>
      <c r="D56" s="14" t="s">
        <v>22</v>
      </c>
      <c r="E56" t="s">
        <v>26</v>
      </c>
      <c r="F56" t="s">
        <v>10</v>
      </c>
      <c r="G56" t="s">
        <v>29</v>
      </c>
      <c r="H56" s="7">
        <v>3642</v>
      </c>
      <c r="I56" s="3">
        <f>SUM(H56*VLOOKUP(G56,Tabela1[],2,FALSE))</f>
        <v>218520</v>
      </c>
    </row>
    <row r="57" spans="1:9" x14ac:dyDescent="0.35">
      <c r="A57" s="1">
        <f t="shared" si="18"/>
        <v>2019</v>
      </c>
      <c r="B57" s="1" t="str">
        <f t="shared" si="19"/>
        <v>JUN</v>
      </c>
      <c r="C57" s="2">
        <v>43628</v>
      </c>
      <c r="D57" s="14" t="s">
        <v>21</v>
      </c>
      <c r="E57" t="s">
        <v>25</v>
      </c>
      <c r="F57" t="s">
        <v>11</v>
      </c>
      <c r="G57" t="s">
        <v>30</v>
      </c>
      <c r="H57" s="7">
        <v>1495</v>
      </c>
      <c r="I57" s="3">
        <f>SUM(H57*VLOOKUP(G57,Tabela1[],2,FALSE))</f>
        <v>7475</v>
      </c>
    </row>
    <row r="58" spans="1:9" x14ac:dyDescent="0.35">
      <c r="A58" s="1">
        <f t="shared" si="18"/>
        <v>2019</v>
      </c>
      <c r="B58" s="1" t="str">
        <f t="shared" si="19"/>
        <v>MAI</v>
      </c>
      <c r="C58" s="2">
        <v>43589</v>
      </c>
      <c r="D58" s="14" t="s">
        <v>21</v>
      </c>
      <c r="E58" t="s">
        <v>47</v>
      </c>
      <c r="F58" t="s">
        <v>12</v>
      </c>
      <c r="G58" t="s">
        <v>28</v>
      </c>
      <c r="H58" s="7">
        <v>1685</v>
      </c>
      <c r="I58" s="3">
        <f>SUM(H58*VLOOKUP(G58,Tabela1[],2,FALSE))</f>
        <v>84250</v>
      </c>
    </row>
    <row r="59" spans="1:9" x14ac:dyDescent="0.35">
      <c r="A59" s="1">
        <f t="shared" si="18"/>
        <v>2019</v>
      </c>
      <c r="B59" s="1" t="str">
        <f t="shared" si="19"/>
        <v>JAN</v>
      </c>
      <c r="C59" s="2">
        <v>43491</v>
      </c>
      <c r="D59" s="14" t="s">
        <v>21</v>
      </c>
      <c r="E59" t="s">
        <v>25</v>
      </c>
      <c r="F59" t="s">
        <v>13</v>
      </c>
      <c r="G59" t="s">
        <v>30</v>
      </c>
      <c r="H59" s="7">
        <v>4102</v>
      </c>
      <c r="I59" s="3">
        <f>SUM(H59*VLOOKUP(G59,Tabela1[],2,FALSE))</f>
        <v>20510</v>
      </c>
    </row>
    <row r="60" spans="1:9" x14ac:dyDescent="0.35">
      <c r="A60" s="1">
        <f t="shared" si="18"/>
        <v>2019</v>
      </c>
      <c r="B60" s="1" t="str">
        <f t="shared" si="19"/>
        <v>FEV</v>
      </c>
      <c r="C60" s="2">
        <v>43515</v>
      </c>
      <c r="D60" s="14" t="s">
        <v>21</v>
      </c>
      <c r="E60" t="s">
        <v>49</v>
      </c>
      <c r="F60" t="s">
        <v>14</v>
      </c>
      <c r="G60" t="s">
        <v>27</v>
      </c>
      <c r="H60" s="7">
        <v>1889</v>
      </c>
      <c r="I60" s="3">
        <f>SUM(H60*VLOOKUP(G60,Tabela1[],2,FALSE))</f>
        <v>94450</v>
      </c>
    </row>
    <row r="61" spans="1:9" x14ac:dyDescent="0.35">
      <c r="A61" s="1">
        <f t="shared" si="18"/>
        <v>2019</v>
      </c>
      <c r="B61" s="1" t="str">
        <f t="shared" si="19"/>
        <v>JAN</v>
      </c>
      <c r="C61" s="2">
        <v>43492</v>
      </c>
      <c r="D61" s="14" t="s">
        <v>21</v>
      </c>
      <c r="E61" t="s">
        <v>23</v>
      </c>
      <c r="F61" t="s">
        <v>14</v>
      </c>
      <c r="G61" t="s">
        <v>29</v>
      </c>
      <c r="H61" s="7">
        <v>3425</v>
      </c>
      <c r="I61" s="3">
        <f>SUM(H61*VLOOKUP(G61,Tabela1[],2,FALSE))</f>
        <v>205500</v>
      </c>
    </row>
    <row r="62" spans="1:9" x14ac:dyDescent="0.35">
      <c r="A62" s="1">
        <f>YEAR(C62)</f>
        <v>2019</v>
      </c>
      <c r="B62" s="1" t="str">
        <f>UPPER(TEXT(C62,"mmm"))</f>
        <v>ABR</v>
      </c>
      <c r="C62" s="2">
        <v>43562</v>
      </c>
      <c r="D62" s="14" t="s">
        <v>21</v>
      </c>
      <c r="E62" t="s">
        <v>48</v>
      </c>
      <c r="F62" t="s">
        <v>9</v>
      </c>
      <c r="G62" t="s">
        <v>29</v>
      </c>
      <c r="H62" s="7">
        <v>844</v>
      </c>
      <c r="I62" s="3">
        <f>SUM(H62*VLOOKUP(G62,Tabela1[],2,FALSE))</f>
        <v>50640</v>
      </c>
    </row>
    <row r="63" spans="1:9" x14ac:dyDescent="0.35">
      <c r="A63" s="1">
        <f t="shared" ref="A63:A68" si="20">YEAR(C63)</f>
        <v>2019</v>
      </c>
      <c r="B63" s="1" t="str">
        <f t="shared" ref="B63:B68" si="21">UPPER(TEXT(C63,"mmm"))</f>
        <v>JAN</v>
      </c>
      <c r="C63" s="2">
        <v>43494</v>
      </c>
      <c r="D63" s="14" t="s">
        <v>21</v>
      </c>
      <c r="E63" t="s">
        <v>26</v>
      </c>
      <c r="F63" t="s">
        <v>10</v>
      </c>
      <c r="G63" t="s">
        <v>29</v>
      </c>
      <c r="H63" s="7">
        <v>2158</v>
      </c>
      <c r="I63" s="3">
        <f>SUM(H63*VLOOKUP(G63,Tabela1[],2,FALSE))</f>
        <v>129480</v>
      </c>
    </row>
    <row r="64" spans="1:9" x14ac:dyDescent="0.35">
      <c r="A64" s="1">
        <f t="shared" si="20"/>
        <v>2019</v>
      </c>
      <c r="B64" s="1" t="str">
        <f t="shared" si="21"/>
        <v>DEZ</v>
      </c>
      <c r="C64" s="2">
        <v>43826</v>
      </c>
      <c r="D64" s="14" t="s">
        <v>21</v>
      </c>
      <c r="E64" t="s">
        <v>25</v>
      </c>
      <c r="F64" t="s">
        <v>11</v>
      </c>
      <c r="G64" t="s">
        <v>30</v>
      </c>
      <c r="H64" s="7">
        <v>4015</v>
      </c>
      <c r="I64" s="3">
        <f>SUM(H64*VLOOKUP(G64,Tabela1[],2,FALSE))</f>
        <v>20075</v>
      </c>
    </row>
    <row r="65" spans="1:9" x14ac:dyDescent="0.35">
      <c r="A65" s="1">
        <f t="shared" si="20"/>
        <v>2019</v>
      </c>
      <c r="B65" s="1" t="str">
        <f t="shared" si="21"/>
        <v>JUL</v>
      </c>
      <c r="C65" s="2">
        <v>43668</v>
      </c>
      <c r="D65" s="14" t="s">
        <v>22</v>
      </c>
      <c r="E65" t="s">
        <v>47</v>
      </c>
      <c r="F65" t="s">
        <v>12</v>
      </c>
      <c r="G65" t="s">
        <v>28</v>
      </c>
      <c r="H65" s="7">
        <v>4700</v>
      </c>
      <c r="I65" s="3">
        <f>SUM(H65*VLOOKUP(G65,Tabela1[],2,FALSE))</f>
        <v>235000</v>
      </c>
    </row>
    <row r="66" spans="1:9" x14ac:dyDescent="0.35">
      <c r="A66" s="1">
        <f t="shared" si="20"/>
        <v>2019</v>
      </c>
      <c r="B66" s="1" t="str">
        <f t="shared" si="21"/>
        <v>JAN</v>
      </c>
      <c r="C66" s="2">
        <v>43494</v>
      </c>
      <c r="D66" s="14" t="s">
        <v>22</v>
      </c>
      <c r="E66" t="s">
        <v>25</v>
      </c>
      <c r="F66" t="s">
        <v>13</v>
      </c>
      <c r="G66" t="s">
        <v>30</v>
      </c>
      <c r="H66" s="7">
        <v>744</v>
      </c>
      <c r="I66" s="3">
        <f>SUM(H66*VLOOKUP(G66,Tabela1[],2,FALSE))</f>
        <v>3720</v>
      </c>
    </row>
    <row r="67" spans="1:9" x14ac:dyDescent="0.35">
      <c r="A67" s="1">
        <f t="shared" si="20"/>
        <v>2019</v>
      </c>
      <c r="B67" s="1" t="str">
        <f t="shared" si="21"/>
        <v>AGO</v>
      </c>
      <c r="C67" s="2">
        <v>43694</v>
      </c>
      <c r="D67" s="14" t="s">
        <v>22</v>
      </c>
      <c r="E67" t="s">
        <v>49</v>
      </c>
      <c r="F67" t="s">
        <v>14</v>
      </c>
      <c r="G67" t="s">
        <v>27</v>
      </c>
      <c r="H67" s="7">
        <v>2367</v>
      </c>
      <c r="I67" s="3">
        <f>SUM(H67*VLOOKUP(G67,Tabela1[],2,FALSE))</f>
        <v>118350</v>
      </c>
    </row>
    <row r="68" spans="1:9" x14ac:dyDescent="0.35">
      <c r="A68" s="1">
        <f t="shared" si="20"/>
        <v>2019</v>
      </c>
      <c r="B68" s="1" t="str">
        <f t="shared" si="21"/>
        <v>NOV</v>
      </c>
      <c r="C68" s="2">
        <v>43787</v>
      </c>
      <c r="D68" s="14" t="s">
        <v>22</v>
      </c>
      <c r="E68" t="s">
        <v>23</v>
      </c>
      <c r="F68" t="s">
        <v>14</v>
      </c>
      <c r="G68" t="s">
        <v>29</v>
      </c>
      <c r="H68" s="7">
        <v>1039</v>
      </c>
      <c r="I68" s="3">
        <f>SUM(H68*VLOOKUP(G68,Tabela1[],2,FALSE))</f>
        <v>62340</v>
      </c>
    </row>
    <row r="69" spans="1:9" x14ac:dyDescent="0.35">
      <c r="A69" s="1">
        <f>YEAR(C69)</f>
        <v>2019</v>
      </c>
      <c r="B69" s="1" t="str">
        <f>UPPER(TEXT(C69,"mmm"))</f>
        <v>SET</v>
      </c>
      <c r="C69" s="2">
        <v>43714</v>
      </c>
      <c r="D69" s="14" t="s">
        <v>22</v>
      </c>
      <c r="E69" t="s">
        <v>48</v>
      </c>
      <c r="F69" t="s">
        <v>9</v>
      </c>
      <c r="G69" t="s">
        <v>29</v>
      </c>
      <c r="H69" s="7">
        <v>1203</v>
      </c>
      <c r="I69" s="3">
        <f>SUM(H69*VLOOKUP(G69,Tabela1[],2,FALSE))</f>
        <v>72180</v>
      </c>
    </row>
    <row r="70" spans="1:9" x14ac:dyDescent="0.35">
      <c r="A70" s="1">
        <f t="shared" ref="A70:A75" si="22">YEAR(C70)</f>
        <v>2019</v>
      </c>
      <c r="B70" s="1" t="str">
        <f t="shared" ref="B70:B75" si="23">UPPER(TEXT(C70,"mmm"))</f>
        <v>DEZ</v>
      </c>
      <c r="C70" s="2">
        <v>43827</v>
      </c>
      <c r="D70" s="14" t="s">
        <v>22</v>
      </c>
      <c r="E70" t="s">
        <v>26</v>
      </c>
      <c r="F70" t="s">
        <v>10</v>
      </c>
      <c r="G70" t="s">
        <v>29</v>
      </c>
      <c r="H70" s="7">
        <v>1068</v>
      </c>
      <c r="I70" s="3">
        <f>SUM(H70*VLOOKUP(G70,Tabela1[],2,FALSE))</f>
        <v>64080</v>
      </c>
    </row>
    <row r="71" spans="1:9" x14ac:dyDescent="0.35">
      <c r="A71" s="1">
        <f t="shared" si="22"/>
        <v>2019</v>
      </c>
      <c r="B71" s="1" t="str">
        <f t="shared" si="23"/>
        <v>AGO</v>
      </c>
      <c r="C71" s="2">
        <v>43680</v>
      </c>
      <c r="D71" s="14" t="s">
        <v>20</v>
      </c>
      <c r="E71" t="s">
        <v>25</v>
      </c>
      <c r="F71" t="s">
        <v>11</v>
      </c>
      <c r="G71" t="s">
        <v>30</v>
      </c>
      <c r="H71" s="7">
        <v>2132</v>
      </c>
      <c r="I71" s="3">
        <f>SUM(H71*VLOOKUP(G71,Tabela1[],2,FALSE))</f>
        <v>10660</v>
      </c>
    </row>
    <row r="72" spans="1:9" x14ac:dyDescent="0.35">
      <c r="A72" s="1">
        <f t="shared" si="22"/>
        <v>2019</v>
      </c>
      <c r="B72" s="1" t="str">
        <f t="shared" si="23"/>
        <v>SET</v>
      </c>
      <c r="C72" s="2">
        <v>43719</v>
      </c>
      <c r="D72" s="14" t="s">
        <v>21</v>
      </c>
      <c r="E72" t="s">
        <v>47</v>
      </c>
      <c r="F72" t="s">
        <v>12</v>
      </c>
      <c r="G72" t="s">
        <v>28</v>
      </c>
      <c r="H72" s="7">
        <v>2435</v>
      </c>
      <c r="I72" s="3">
        <f>SUM(H72*VLOOKUP(G72,Tabela1[],2,FALSE))</f>
        <v>121750</v>
      </c>
    </row>
    <row r="73" spans="1:9" x14ac:dyDescent="0.35">
      <c r="A73" s="1">
        <f t="shared" si="22"/>
        <v>2019</v>
      </c>
      <c r="B73" s="1" t="str">
        <f t="shared" si="23"/>
        <v>ABR</v>
      </c>
      <c r="C73" s="2">
        <v>43578</v>
      </c>
      <c r="D73" s="14" t="s">
        <v>22</v>
      </c>
      <c r="E73" t="s">
        <v>25</v>
      </c>
      <c r="F73" t="s">
        <v>13</v>
      </c>
      <c r="G73" t="s">
        <v>30</v>
      </c>
      <c r="H73" s="7">
        <v>775</v>
      </c>
      <c r="I73" s="3">
        <f>SUM(H73*VLOOKUP(G73,Tabela1[],2,FALSE))</f>
        <v>3875</v>
      </c>
    </row>
    <row r="74" spans="1:9" x14ac:dyDescent="0.35">
      <c r="A74" s="1">
        <f t="shared" si="22"/>
        <v>2019</v>
      </c>
      <c r="B74" s="1" t="str">
        <f t="shared" si="23"/>
        <v>SET</v>
      </c>
      <c r="C74" s="2">
        <v>43716</v>
      </c>
      <c r="D74" s="14" t="s">
        <v>20</v>
      </c>
      <c r="E74" t="s">
        <v>49</v>
      </c>
      <c r="F74" t="s">
        <v>14</v>
      </c>
      <c r="G74" t="s">
        <v>27</v>
      </c>
      <c r="H74" s="7">
        <v>4220</v>
      </c>
      <c r="I74" s="3">
        <f>SUM(H74*VLOOKUP(G74,Tabela1[],2,FALSE))</f>
        <v>211000</v>
      </c>
    </row>
    <row r="75" spans="1:9" x14ac:dyDescent="0.35">
      <c r="A75" s="1">
        <f t="shared" si="22"/>
        <v>2019</v>
      </c>
      <c r="B75" s="1" t="str">
        <f t="shared" si="23"/>
        <v>JUN</v>
      </c>
      <c r="C75" s="2">
        <v>43638</v>
      </c>
      <c r="D75" s="14" t="s">
        <v>20</v>
      </c>
      <c r="E75" t="s">
        <v>23</v>
      </c>
      <c r="F75" t="s">
        <v>14</v>
      </c>
      <c r="G75" t="s">
        <v>29</v>
      </c>
      <c r="H75" s="7">
        <v>4229</v>
      </c>
      <c r="I75" s="3">
        <f>SUM(H75*VLOOKUP(G75,Tabela1[],2,FALSE))</f>
        <v>253740</v>
      </c>
    </row>
    <row r="76" spans="1:9" x14ac:dyDescent="0.35">
      <c r="A76" s="1">
        <f>YEAR(C76)</f>
        <v>2019</v>
      </c>
      <c r="B76" s="1" t="str">
        <f>UPPER(TEXT(C76,"mmm"))</f>
        <v>NOV</v>
      </c>
      <c r="C76" s="2">
        <v>43788</v>
      </c>
      <c r="D76" t="s">
        <v>21</v>
      </c>
      <c r="E76" t="s">
        <v>48</v>
      </c>
      <c r="F76" t="s">
        <v>9</v>
      </c>
      <c r="G76" t="s">
        <v>29</v>
      </c>
      <c r="H76" s="7">
        <v>3276</v>
      </c>
      <c r="I76" s="3">
        <f>SUM(H76*VLOOKUP(G76,Tabela1[],2,FALSE))</f>
        <v>196560</v>
      </c>
    </row>
    <row r="77" spans="1:9" x14ac:dyDescent="0.35">
      <c r="A77" s="1">
        <f t="shared" ref="A77:A82" si="24">YEAR(C77)</f>
        <v>2019</v>
      </c>
      <c r="B77" s="1" t="str">
        <f t="shared" ref="B77:B82" si="25">UPPER(TEXT(C77,"mmm"))</f>
        <v>FEV</v>
      </c>
      <c r="C77" s="2">
        <v>43513</v>
      </c>
      <c r="D77" t="s">
        <v>21</v>
      </c>
      <c r="E77" t="s">
        <v>26</v>
      </c>
      <c r="F77" t="s">
        <v>10</v>
      </c>
      <c r="G77" t="s">
        <v>29</v>
      </c>
      <c r="H77" s="7">
        <v>2060</v>
      </c>
      <c r="I77" s="3">
        <f>SUM(H77*VLOOKUP(G77,Tabela1[],2,FALSE))</f>
        <v>123600</v>
      </c>
    </row>
    <row r="78" spans="1:9" x14ac:dyDescent="0.35">
      <c r="A78" s="1">
        <f t="shared" si="24"/>
        <v>2019</v>
      </c>
      <c r="B78" s="1" t="str">
        <f t="shared" si="25"/>
        <v>MAI</v>
      </c>
      <c r="C78" s="2">
        <v>43594</v>
      </c>
      <c r="D78" t="s">
        <v>21</v>
      </c>
      <c r="E78" t="s">
        <v>25</v>
      </c>
      <c r="F78" t="s">
        <v>11</v>
      </c>
      <c r="G78" t="s">
        <v>30</v>
      </c>
      <c r="H78" s="7">
        <v>1249</v>
      </c>
      <c r="I78" s="3">
        <f>SUM(H78*VLOOKUP(G78,Tabela1[],2,FALSE))</f>
        <v>6245</v>
      </c>
    </row>
    <row r="79" spans="1:9" x14ac:dyDescent="0.35">
      <c r="A79" s="1">
        <f t="shared" si="24"/>
        <v>2019</v>
      </c>
      <c r="B79" s="1" t="str">
        <f t="shared" si="25"/>
        <v>FEV</v>
      </c>
      <c r="C79" s="2">
        <v>43512</v>
      </c>
      <c r="D79" t="s">
        <v>21</v>
      </c>
      <c r="E79" t="s">
        <v>47</v>
      </c>
      <c r="F79" t="s">
        <v>12</v>
      </c>
      <c r="G79" t="s">
        <v>28</v>
      </c>
      <c r="H79" s="7">
        <v>899</v>
      </c>
      <c r="I79" s="3">
        <f>SUM(H79*VLOOKUP(G79,Tabela1[],2,FALSE))</f>
        <v>44950</v>
      </c>
    </row>
    <row r="80" spans="1:9" x14ac:dyDescent="0.35">
      <c r="A80" s="1">
        <f t="shared" si="24"/>
        <v>2019</v>
      </c>
      <c r="B80" s="1" t="str">
        <f t="shared" si="25"/>
        <v>SET</v>
      </c>
      <c r="C80" s="2">
        <v>43723</v>
      </c>
      <c r="D80" t="s">
        <v>21</v>
      </c>
      <c r="E80" t="s">
        <v>25</v>
      </c>
      <c r="F80" t="s">
        <v>13</v>
      </c>
      <c r="G80" t="s">
        <v>30</v>
      </c>
      <c r="H80" s="7">
        <v>4890</v>
      </c>
      <c r="I80" s="3">
        <f>SUM(H80*VLOOKUP(G80,Tabela1[],2,FALSE))</f>
        <v>24450</v>
      </c>
    </row>
    <row r="81" spans="1:9" x14ac:dyDescent="0.35">
      <c r="A81" s="1">
        <f t="shared" si="24"/>
        <v>2019</v>
      </c>
      <c r="B81" s="1" t="str">
        <f t="shared" si="25"/>
        <v>DEZ</v>
      </c>
      <c r="C81" s="2">
        <v>43821</v>
      </c>
      <c r="D81" t="s">
        <v>21</v>
      </c>
      <c r="E81" t="s">
        <v>49</v>
      </c>
      <c r="F81" t="s">
        <v>14</v>
      </c>
      <c r="G81" t="s">
        <v>27</v>
      </c>
      <c r="H81" s="7">
        <v>2607</v>
      </c>
      <c r="I81" s="3">
        <f>SUM(H81*VLOOKUP(G81,Tabela1[],2,FALSE))</f>
        <v>130350</v>
      </c>
    </row>
    <row r="82" spans="1:9" x14ac:dyDescent="0.35">
      <c r="A82" s="1">
        <f t="shared" si="24"/>
        <v>2019</v>
      </c>
      <c r="B82" s="1" t="str">
        <f t="shared" si="25"/>
        <v>DEZ</v>
      </c>
      <c r="C82" s="2">
        <v>43827</v>
      </c>
      <c r="D82" t="s">
        <v>21</v>
      </c>
      <c r="E82" t="s">
        <v>23</v>
      </c>
      <c r="F82" t="s">
        <v>14</v>
      </c>
      <c r="G82" t="s">
        <v>29</v>
      </c>
      <c r="H82" s="7">
        <v>2554</v>
      </c>
      <c r="I82" s="3">
        <f>SUM(H82*VLOOKUP(G82,Tabela1[],2,FALSE))</f>
        <v>153240</v>
      </c>
    </row>
    <row r="83" spans="1:9" x14ac:dyDescent="0.35">
      <c r="A83" s="1">
        <f t="shared" si="0"/>
        <v>2019</v>
      </c>
      <c r="B83" s="1" t="str">
        <f t="shared" si="1"/>
        <v>MAR</v>
      </c>
      <c r="C83" s="2">
        <v>43551</v>
      </c>
      <c r="D83" t="s">
        <v>21</v>
      </c>
      <c r="E83" t="s">
        <v>49</v>
      </c>
      <c r="F83" t="s">
        <v>9</v>
      </c>
      <c r="G83" t="s">
        <v>30</v>
      </c>
      <c r="H83" s="7">
        <v>933</v>
      </c>
      <c r="I83" s="3">
        <f>SUM(H83*VLOOKUP(G83,Tabela1[],2,FALSE))</f>
        <v>4665</v>
      </c>
    </row>
    <row r="84" spans="1:9" x14ac:dyDescent="0.35">
      <c r="A84" s="1">
        <f t="shared" si="0"/>
        <v>2019</v>
      </c>
      <c r="B84" s="1" t="str">
        <f t="shared" si="1"/>
        <v>AGO</v>
      </c>
      <c r="C84" s="2">
        <v>43692</v>
      </c>
      <c r="D84" t="s">
        <v>21</v>
      </c>
      <c r="E84" t="s">
        <v>25</v>
      </c>
      <c r="F84" t="s">
        <v>9</v>
      </c>
      <c r="G84" t="s">
        <v>27</v>
      </c>
      <c r="H84" s="7">
        <v>4830</v>
      </c>
      <c r="I84" s="3">
        <f>SUM(H84*VLOOKUP(G84,Tabela1[],2,FALSE))</f>
        <v>241500</v>
      </c>
    </row>
    <row r="85" spans="1:9" x14ac:dyDescent="0.35">
      <c r="A85" s="1">
        <f>YEAR(C85)</f>
        <v>2019</v>
      </c>
      <c r="B85" s="1" t="str">
        <f>UPPER(TEXT(C85,"mmm"))</f>
        <v>JUL</v>
      </c>
      <c r="C85" s="2">
        <v>43660</v>
      </c>
      <c r="D85" s="14" t="s">
        <v>22</v>
      </c>
      <c r="E85" t="s">
        <v>48</v>
      </c>
      <c r="F85" t="s">
        <v>9</v>
      </c>
      <c r="G85" t="s">
        <v>29</v>
      </c>
      <c r="H85" s="7">
        <v>3170</v>
      </c>
      <c r="I85" s="3">
        <f>SUM(H85*VLOOKUP(G85,Tabela1[],2,FALSE))</f>
        <v>190200</v>
      </c>
    </row>
    <row r="86" spans="1:9" x14ac:dyDescent="0.35">
      <c r="A86" s="1">
        <f t="shared" ref="A86:A91" si="26">YEAR(C86)</f>
        <v>2019</v>
      </c>
      <c r="B86" s="1" t="str">
        <f t="shared" ref="B86:B91" si="27">UPPER(TEXT(C86,"mmm"))</f>
        <v>MAI</v>
      </c>
      <c r="C86" s="2">
        <v>43588</v>
      </c>
      <c r="D86" s="14" t="s">
        <v>21</v>
      </c>
      <c r="E86" t="s">
        <v>25</v>
      </c>
      <c r="F86" t="s">
        <v>13</v>
      </c>
      <c r="G86" t="s">
        <v>30</v>
      </c>
      <c r="H86" s="7">
        <v>4246</v>
      </c>
      <c r="I86" s="3">
        <f>SUM(H86*VLOOKUP(G86,Tabela1[],2,FALSE))</f>
        <v>21230</v>
      </c>
    </row>
    <row r="87" spans="1:9" x14ac:dyDescent="0.35">
      <c r="A87" s="1">
        <f t="shared" si="26"/>
        <v>2019</v>
      </c>
      <c r="B87" s="1" t="str">
        <f t="shared" si="27"/>
        <v>JUL</v>
      </c>
      <c r="C87" s="2">
        <v>43650</v>
      </c>
      <c r="D87" s="14" t="s">
        <v>21</v>
      </c>
      <c r="E87" t="s">
        <v>49</v>
      </c>
      <c r="F87" t="s">
        <v>14</v>
      </c>
      <c r="G87" t="s">
        <v>27</v>
      </c>
      <c r="H87" s="7">
        <v>2844</v>
      </c>
      <c r="I87" s="3">
        <f>SUM(H87*VLOOKUP(G87,Tabela1[],2,FALSE))</f>
        <v>142200</v>
      </c>
    </row>
    <row r="88" spans="1:9" x14ac:dyDescent="0.35">
      <c r="A88" s="1">
        <f t="shared" si="26"/>
        <v>2019</v>
      </c>
      <c r="B88" s="1" t="str">
        <f t="shared" si="27"/>
        <v>OUT</v>
      </c>
      <c r="C88" s="2">
        <v>43765</v>
      </c>
      <c r="D88" s="14" t="s">
        <v>21</v>
      </c>
      <c r="E88" t="s">
        <v>23</v>
      </c>
      <c r="F88" t="s">
        <v>14</v>
      </c>
      <c r="G88" t="s">
        <v>29</v>
      </c>
      <c r="H88" s="7">
        <v>3458</v>
      </c>
      <c r="I88" s="3">
        <f>SUM(H88*VLOOKUP(G88,Tabela1[],2,FALSE))</f>
        <v>207480</v>
      </c>
    </row>
    <row r="89" spans="1:9" x14ac:dyDescent="0.35">
      <c r="A89" s="1">
        <f t="shared" si="26"/>
        <v>2019</v>
      </c>
      <c r="B89" s="1" t="str">
        <f t="shared" si="27"/>
        <v>ABR</v>
      </c>
      <c r="C89" s="2">
        <v>43557</v>
      </c>
      <c r="D89" s="14" t="s">
        <v>21</v>
      </c>
      <c r="E89" t="s">
        <v>45</v>
      </c>
      <c r="F89" t="s">
        <v>9</v>
      </c>
      <c r="G89" t="s">
        <v>29</v>
      </c>
      <c r="H89" s="7">
        <v>1702</v>
      </c>
      <c r="I89" s="3">
        <f>SUM(H89*VLOOKUP(G89,Tabela1[],2,FALSE))</f>
        <v>102120</v>
      </c>
    </row>
    <row r="90" spans="1:9" x14ac:dyDescent="0.35">
      <c r="A90" s="1">
        <f t="shared" si="26"/>
        <v>2019</v>
      </c>
      <c r="B90" s="1" t="str">
        <f t="shared" si="27"/>
        <v>FEV</v>
      </c>
      <c r="C90" s="2">
        <v>43517</v>
      </c>
      <c r="D90" s="14" t="s">
        <v>21</v>
      </c>
      <c r="E90" t="s">
        <v>49</v>
      </c>
      <c r="F90" t="s">
        <v>9</v>
      </c>
      <c r="G90" t="s">
        <v>30</v>
      </c>
      <c r="H90" s="7">
        <v>2311</v>
      </c>
      <c r="I90" s="3">
        <f>SUM(H90*VLOOKUP(G90,Tabela1[],2,FALSE))</f>
        <v>11555</v>
      </c>
    </row>
    <row r="91" spans="1:9" x14ac:dyDescent="0.35">
      <c r="A91" s="1">
        <f t="shared" si="26"/>
        <v>2019</v>
      </c>
      <c r="B91" s="1" t="str">
        <f t="shared" si="27"/>
        <v>MAI</v>
      </c>
      <c r="C91" s="2">
        <v>43588</v>
      </c>
      <c r="D91" s="14" t="s">
        <v>21</v>
      </c>
      <c r="E91" t="s">
        <v>25</v>
      </c>
      <c r="F91" t="s">
        <v>9</v>
      </c>
      <c r="G91" t="s">
        <v>27</v>
      </c>
      <c r="H91" s="7">
        <v>4658</v>
      </c>
      <c r="I91" s="3">
        <f>SUM(H91*VLOOKUP(G91,Tabela1[],2,FALSE))</f>
        <v>232900</v>
      </c>
    </row>
    <row r="92" spans="1:9" x14ac:dyDescent="0.35">
      <c r="A92" s="1">
        <f>YEAR(C92)</f>
        <v>2019</v>
      </c>
      <c r="B92" s="1" t="str">
        <f>UPPER(TEXT(C92,"mmm"))</f>
        <v>MAR</v>
      </c>
      <c r="C92" s="2">
        <v>43537</v>
      </c>
      <c r="D92" s="14" t="s">
        <v>21</v>
      </c>
      <c r="E92" t="s">
        <v>48</v>
      </c>
      <c r="F92" t="s">
        <v>9</v>
      </c>
      <c r="G92" t="s">
        <v>29</v>
      </c>
      <c r="H92" s="7">
        <v>645</v>
      </c>
      <c r="I92" s="3">
        <f>SUM(H92*VLOOKUP(G92,Tabela1[],2,FALSE))</f>
        <v>38700</v>
      </c>
    </row>
    <row r="93" spans="1:9" x14ac:dyDescent="0.35">
      <c r="A93" s="1">
        <f t="shared" ref="A93:A101" si="28">YEAR(C93)</f>
        <v>2019</v>
      </c>
      <c r="B93" s="1" t="str">
        <f t="shared" ref="B93:B101" si="29">UPPER(TEXT(C93,"mmm"))</f>
        <v>JUL</v>
      </c>
      <c r="C93" s="2">
        <v>43675</v>
      </c>
      <c r="D93" s="14" t="s">
        <v>21</v>
      </c>
      <c r="E93" t="s">
        <v>26</v>
      </c>
      <c r="F93" t="s">
        <v>10</v>
      </c>
      <c r="G93" t="s">
        <v>29</v>
      </c>
      <c r="H93" s="7">
        <v>4878</v>
      </c>
      <c r="I93" s="3">
        <f>SUM(H93*VLOOKUP(G93,Tabela1[],2,FALSE))</f>
        <v>292680</v>
      </c>
    </row>
    <row r="94" spans="1:9" x14ac:dyDescent="0.35">
      <c r="A94" s="1">
        <f t="shared" si="28"/>
        <v>2019</v>
      </c>
      <c r="B94" s="1" t="str">
        <f t="shared" si="29"/>
        <v>JUL</v>
      </c>
      <c r="C94" s="2">
        <v>43669</v>
      </c>
      <c r="D94" s="14" t="s">
        <v>22</v>
      </c>
      <c r="E94" t="s">
        <v>25</v>
      </c>
      <c r="F94" t="s">
        <v>11</v>
      </c>
      <c r="G94" t="s">
        <v>30</v>
      </c>
      <c r="H94" s="7">
        <v>3544</v>
      </c>
      <c r="I94" s="3">
        <f>SUM(H94*VLOOKUP(G94,Tabela1[],2,FALSE))</f>
        <v>17720</v>
      </c>
    </row>
    <row r="95" spans="1:9" x14ac:dyDescent="0.35">
      <c r="A95" s="1">
        <f t="shared" si="28"/>
        <v>2019</v>
      </c>
      <c r="B95" s="1" t="str">
        <f t="shared" si="29"/>
        <v>OUT</v>
      </c>
      <c r="C95" s="2">
        <v>43754</v>
      </c>
      <c r="D95" s="14" t="s">
        <v>22</v>
      </c>
      <c r="E95" t="s">
        <v>47</v>
      </c>
      <c r="F95" t="s">
        <v>12</v>
      </c>
      <c r="G95" t="s">
        <v>28</v>
      </c>
      <c r="H95" s="7">
        <v>3674</v>
      </c>
      <c r="I95" s="3">
        <f>SUM(H95*VLOOKUP(G95,Tabela1[],2,FALSE))</f>
        <v>183700</v>
      </c>
    </row>
    <row r="96" spans="1:9" x14ac:dyDescent="0.35">
      <c r="A96" s="1">
        <f t="shared" si="28"/>
        <v>2019</v>
      </c>
      <c r="B96" s="1" t="str">
        <f t="shared" si="29"/>
        <v>DEZ</v>
      </c>
      <c r="C96" s="2">
        <v>43801</v>
      </c>
      <c r="D96" s="14" t="s">
        <v>22</v>
      </c>
      <c r="E96" t="s">
        <v>25</v>
      </c>
      <c r="F96" t="s">
        <v>13</v>
      </c>
      <c r="G96" t="s">
        <v>30</v>
      </c>
      <c r="H96" s="7">
        <v>4231</v>
      </c>
      <c r="I96" s="3">
        <f>SUM(H96*VLOOKUP(G96,Tabela1[],2,FALSE))</f>
        <v>21155</v>
      </c>
    </row>
    <row r="97" spans="1:9" x14ac:dyDescent="0.35">
      <c r="A97" s="1">
        <f t="shared" si="28"/>
        <v>2019</v>
      </c>
      <c r="B97" s="1" t="str">
        <f t="shared" si="29"/>
        <v>JAN</v>
      </c>
      <c r="C97" s="2">
        <v>43469</v>
      </c>
      <c r="D97" s="14" t="s">
        <v>22</v>
      </c>
      <c r="E97" t="s">
        <v>49</v>
      </c>
      <c r="F97" t="s">
        <v>14</v>
      </c>
      <c r="G97" t="s">
        <v>27</v>
      </c>
      <c r="H97" s="7">
        <v>3949</v>
      </c>
      <c r="I97" s="3">
        <f>SUM(H97*VLOOKUP(G97,Tabela1[],2,FALSE))</f>
        <v>197450</v>
      </c>
    </row>
    <row r="98" spans="1:9" x14ac:dyDescent="0.35">
      <c r="A98" s="1">
        <f t="shared" si="28"/>
        <v>2019</v>
      </c>
      <c r="B98" s="1" t="str">
        <f t="shared" si="29"/>
        <v>DEZ</v>
      </c>
      <c r="C98" s="2">
        <v>43823</v>
      </c>
      <c r="D98" s="14" t="s">
        <v>22</v>
      </c>
      <c r="E98" t="s">
        <v>23</v>
      </c>
      <c r="F98" t="s">
        <v>14</v>
      </c>
      <c r="G98" t="s">
        <v>29</v>
      </c>
      <c r="H98" s="7">
        <v>887</v>
      </c>
      <c r="I98" s="3">
        <f>SUM(H98*VLOOKUP(G98,Tabela1[],2,FALSE))</f>
        <v>53220</v>
      </c>
    </row>
    <row r="99" spans="1:9" x14ac:dyDescent="0.35">
      <c r="A99" s="1">
        <f t="shared" si="28"/>
        <v>2019</v>
      </c>
      <c r="B99" s="1" t="str">
        <f t="shared" si="29"/>
        <v>OUT</v>
      </c>
      <c r="C99" s="2">
        <v>43765</v>
      </c>
      <c r="D99" s="14" t="s">
        <v>22</v>
      </c>
      <c r="E99" t="s">
        <v>45</v>
      </c>
      <c r="F99" t="s">
        <v>9</v>
      </c>
      <c r="G99" t="s">
        <v>29</v>
      </c>
      <c r="H99" s="7">
        <v>2724</v>
      </c>
      <c r="I99" s="3">
        <f>SUM(H99*VLOOKUP(G99,Tabela1[],2,FALSE))</f>
        <v>163440</v>
      </c>
    </row>
    <row r="100" spans="1:9" x14ac:dyDescent="0.35">
      <c r="A100" s="1">
        <f t="shared" si="28"/>
        <v>2019</v>
      </c>
      <c r="B100" s="1" t="str">
        <f t="shared" si="29"/>
        <v>DEZ</v>
      </c>
      <c r="C100" s="2">
        <v>43810</v>
      </c>
      <c r="D100" s="14" t="s">
        <v>20</v>
      </c>
      <c r="E100" t="s">
        <v>49</v>
      </c>
      <c r="F100" t="s">
        <v>9</v>
      </c>
      <c r="G100" t="s">
        <v>30</v>
      </c>
      <c r="H100" s="7">
        <v>4983</v>
      </c>
      <c r="I100" s="3">
        <f>SUM(H100*VLOOKUP(G100,Tabela1[],2,FALSE))</f>
        <v>24915</v>
      </c>
    </row>
    <row r="101" spans="1:9" x14ac:dyDescent="0.35">
      <c r="A101" s="1">
        <f t="shared" si="28"/>
        <v>2019</v>
      </c>
      <c r="B101" s="1" t="str">
        <f t="shared" si="29"/>
        <v>MAR</v>
      </c>
      <c r="C101" s="2">
        <v>43530</v>
      </c>
      <c r="D101" s="14" t="s">
        <v>21</v>
      </c>
      <c r="E101" t="s">
        <v>25</v>
      </c>
      <c r="F101" t="s">
        <v>9</v>
      </c>
      <c r="G101" t="s">
        <v>27</v>
      </c>
      <c r="H101" s="7">
        <v>2452</v>
      </c>
      <c r="I101" s="3">
        <f>SUM(H101*VLOOKUP(G101,Tabela1[],2,FALSE))</f>
        <v>122600</v>
      </c>
    </row>
    <row r="102" spans="1:9" x14ac:dyDescent="0.35">
      <c r="A102" s="1">
        <f t="shared" ref="A102:A104" si="30">YEAR(C102)</f>
        <v>2019</v>
      </c>
      <c r="B102" s="1" t="str">
        <f t="shared" ref="B102:B104" si="31">UPPER(TEXT(C102,"mmm"))</f>
        <v>DEZ</v>
      </c>
      <c r="C102" s="2">
        <v>43812</v>
      </c>
      <c r="D102" s="14" t="s">
        <v>22</v>
      </c>
      <c r="E102" t="s">
        <v>45</v>
      </c>
      <c r="F102" t="s">
        <v>9</v>
      </c>
      <c r="G102" t="s">
        <v>29</v>
      </c>
      <c r="H102" s="7">
        <v>2714</v>
      </c>
      <c r="I102" s="3">
        <f>SUM(H102*VLOOKUP(G102,Tabela1[],2,FALSE))</f>
        <v>162840</v>
      </c>
    </row>
    <row r="103" spans="1:9" x14ac:dyDescent="0.35">
      <c r="A103" s="1">
        <f t="shared" si="30"/>
        <v>2019</v>
      </c>
      <c r="B103" s="1" t="str">
        <f t="shared" si="31"/>
        <v>OUT</v>
      </c>
      <c r="C103" s="2">
        <v>43758</v>
      </c>
      <c r="D103" s="14" t="s">
        <v>20</v>
      </c>
      <c r="E103" t="s">
        <v>49</v>
      </c>
      <c r="F103" t="s">
        <v>9</v>
      </c>
      <c r="G103" t="s">
        <v>30</v>
      </c>
      <c r="H103" s="7">
        <v>4930</v>
      </c>
      <c r="I103" s="3">
        <f>SUM(H103*VLOOKUP(G103,Tabela1[],2,FALSE))</f>
        <v>24650</v>
      </c>
    </row>
    <row r="104" spans="1:9" x14ac:dyDescent="0.35">
      <c r="A104" s="1">
        <f t="shared" si="30"/>
        <v>2019</v>
      </c>
      <c r="B104" s="1" t="str">
        <f t="shared" si="31"/>
        <v>JUN</v>
      </c>
      <c r="C104" s="2">
        <v>43637</v>
      </c>
      <c r="D104" s="14" t="s">
        <v>20</v>
      </c>
      <c r="E104" t="s">
        <v>25</v>
      </c>
      <c r="F104" t="s">
        <v>9</v>
      </c>
      <c r="G104" t="s">
        <v>27</v>
      </c>
      <c r="H104" s="7">
        <v>1404</v>
      </c>
      <c r="I104" s="3">
        <f>SUM(H104*VLOOKUP(G104,Tabela1[],2,FALSE))</f>
        <v>70200</v>
      </c>
    </row>
    <row r="105" spans="1:9" x14ac:dyDescent="0.35">
      <c r="A105" s="1">
        <f t="shared" si="0"/>
        <v>2019</v>
      </c>
      <c r="B105" s="1" t="str">
        <f t="shared" si="1"/>
        <v>MAI</v>
      </c>
      <c r="C105" s="2">
        <v>43609</v>
      </c>
      <c r="D105" t="s">
        <v>21</v>
      </c>
      <c r="E105" t="s">
        <v>26</v>
      </c>
      <c r="F105" t="s">
        <v>12</v>
      </c>
      <c r="G105" t="s">
        <v>27</v>
      </c>
      <c r="H105" s="7">
        <v>1870</v>
      </c>
      <c r="I105" s="3">
        <f>SUM(H105*VLOOKUP(G105,Tabela1[],2,FALSE))</f>
        <v>93500</v>
      </c>
    </row>
    <row r="106" spans="1:9" x14ac:dyDescent="0.35">
      <c r="A106" s="1">
        <f t="shared" si="0"/>
        <v>2019</v>
      </c>
      <c r="B106" s="1" t="str">
        <f t="shared" si="1"/>
        <v>NOV</v>
      </c>
      <c r="C106" s="2">
        <v>43775</v>
      </c>
      <c r="D106" t="s">
        <v>21</v>
      </c>
      <c r="E106" t="s">
        <v>24</v>
      </c>
      <c r="F106" t="s">
        <v>12</v>
      </c>
      <c r="G106" t="s">
        <v>27</v>
      </c>
      <c r="H106" s="7">
        <v>4881</v>
      </c>
      <c r="I106" s="3">
        <f>SUM(H106*VLOOKUP(G106,Tabela1[],2,FALSE))</f>
        <v>244050</v>
      </c>
    </row>
    <row r="107" spans="1:9" x14ac:dyDescent="0.35">
      <c r="A107" s="1">
        <f t="shared" si="0"/>
        <v>2019</v>
      </c>
      <c r="B107" s="1" t="str">
        <f t="shared" si="1"/>
        <v>MAR</v>
      </c>
      <c r="C107" s="2">
        <v>43525</v>
      </c>
      <c r="D107" t="s">
        <v>21</v>
      </c>
      <c r="E107" t="s">
        <v>49</v>
      </c>
      <c r="F107" t="s">
        <v>14</v>
      </c>
      <c r="G107" t="s">
        <v>28</v>
      </c>
      <c r="H107" s="7">
        <v>3071</v>
      </c>
      <c r="I107" s="3">
        <f>SUM(H107*VLOOKUP(G107,Tabela1[],2,FALSE))</f>
        <v>153550</v>
      </c>
    </row>
    <row r="108" spans="1:9" x14ac:dyDescent="0.35">
      <c r="A108" s="1">
        <f t="shared" si="0"/>
        <v>2019</v>
      </c>
      <c r="B108" s="1" t="str">
        <f t="shared" si="1"/>
        <v>JAN</v>
      </c>
      <c r="C108" s="2">
        <v>43470</v>
      </c>
      <c r="D108" t="s">
        <v>21</v>
      </c>
      <c r="E108" t="s">
        <v>46</v>
      </c>
      <c r="F108" t="s">
        <v>10</v>
      </c>
      <c r="G108" t="s">
        <v>30</v>
      </c>
      <c r="H108" s="7">
        <v>4143</v>
      </c>
      <c r="I108" s="3">
        <f>SUM(H108*VLOOKUP(G108,Tabela1[],2,FALSE))</f>
        <v>20715</v>
      </c>
    </row>
    <row r="109" spans="1:9" x14ac:dyDescent="0.35">
      <c r="A109" s="1">
        <f t="shared" si="0"/>
        <v>2019</v>
      </c>
      <c r="B109" s="1" t="str">
        <f t="shared" si="1"/>
        <v>JUN</v>
      </c>
      <c r="C109" s="2">
        <v>43645</v>
      </c>
      <c r="D109" t="s">
        <v>21</v>
      </c>
      <c r="E109" t="s">
        <v>25</v>
      </c>
      <c r="F109" t="s">
        <v>10</v>
      </c>
      <c r="G109" t="s">
        <v>31</v>
      </c>
      <c r="H109" s="7">
        <v>514</v>
      </c>
      <c r="I109" s="3">
        <f>SUM(H109*VLOOKUP(G109,Tabela1[],2,FALSE))</f>
        <v>25700</v>
      </c>
    </row>
    <row r="110" spans="1:9" x14ac:dyDescent="0.35">
      <c r="A110" s="1">
        <f t="shared" si="0"/>
        <v>2019</v>
      </c>
      <c r="B110" s="1" t="str">
        <f t="shared" si="1"/>
        <v>ABR</v>
      </c>
      <c r="C110" s="2">
        <v>43556</v>
      </c>
      <c r="D110" t="s">
        <v>21</v>
      </c>
      <c r="E110" t="s">
        <v>24</v>
      </c>
      <c r="F110" t="s">
        <v>11</v>
      </c>
      <c r="G110" t="s">
        <v>28</v>
      </c>
      <c r="H110" s="7">
        <v>4298</v>
      </c>
      <c r="I110" s="3">
        <f>SUM(H110*VLOOKUP(G110,Tabela1[],2,FALSE))</f>
        <v>214900</v>
      </c>
    </row>
    <row r="111" spans="1:9" x14ac:dyDescent="0.35">
      <c r="A111" s="1">
        <f t="shared" si="0"/>
        <v>2019</v>
      </c>
      <c r="B111" s="1" t="str">
        <f t="shared" si="1"/>
        <v>NOV</v>
      </c>
      <c r="C111" s="2">
        <v>43787</v>
      </c>
      <c r="D111" s="14" t="s">
        <v>22</v>
      </c>
      <c r="E111" t="s">
        <v>49</v>
      </c>
      <c r="F111" t="s">
        <v>9</v>
      </c>
      <c r="G111" t="s">
        <v>27</v>
      </c>
      <c r="H111" s="7">
        <v>4688</v>
      </c>
      <c r="I111" s="3">
        <f>SUM(H111*VLOOKUP(G111,Tabela1[],2,FALSE))</f>
        <v>234400</v>
      </c>
    </row>
    <row r="112" spans="1:9" x14ac:dyDescent="0.35">
      <c r="A112" s="1">
        <f t="shared" si="0"/>
        <v>2019</v>
      </c>
      <c r="B112" s="1" t="str">
        <f t="shared" si="1"/>
        <v>OUT</v>
      </c>
      <c r="C112" s="2">
        <v>43750</v>
      </c>
      <c r="D112" s="14" t="s">
        <v>21</v>
      </c>
      <c r="E112" t="s">
        <v>25</v>
      </c>
      <c r="F112" t="s">
        <v>9</v>
      </c>
      <c r="G112" t="s">
        <v>28</v>
      </c>
      <c r="H112" s="7">
        <v>3636</v>
      </c>
      <c r="I112" s="3">
        <f>SUM(H112*VLOOKUP(G112,Tabela1[],2,FALSE))</f>
        <v>181800</v>
      </c>
    </row>
    <row r="113" spans="1:9" x14ac:dyDescent="0.35">
      <c r="A113" s="1">
        <f t="shared" si="0"/>
        <v>2019</v>
      </c>
      <c r="B113" s="1" t="str">
        <f t="shared" si="1"/>
        <v>JUL</v>
      </c>
      <c r="C113" s="2">
        <v>43656</v>
      </c>
      <c r="D113" s="14" t="s">
        <v>21</v>
      </c>
      <c r="E113" t="s">
        <v>24</v>
      </c>
      <c r="F113" t="s">
        <v>12</v>
      </c>
      <c r="G113" t="s">
        <v>31</v>
      </c>
      <c r="H113" s="7">
        <v>1200</v>
      </c>
      <c r="I113" s="3">
        <f>SUM(H113*VLOOKUP(G113,Tabela1[],2,FALSE))</f>
        <v>60000</v>
      </c>
    </row>
    <row r="114" spans="1:9" x14ac:dyDescent="0.35">
      <c r="A114" s="1">
        <f t="shared" si="0"/>
        <v>2019</v>
      </c>
      <c r="B114" s="1" t="str">
        <f t="shared" si="1"/>
        <v>ABR</v>
      </c>
      <c r="C114" s="2">
        <v>43574</v>
      </c>
      <c r="D114" s="14" t="s">
        <v>21</v>
      </c>
      <c r="E114" t="s">
        <v>25</v>
      </c>
      <c r="F114" t="s">
        <v>12</v>
      </c>
      <c r="G114" t="s">
        <v>31</v>
      </c>
      <c r="H114" s="7">
        <v>1200</v>
      </c>
      <c r="I114" s="3">
        <f>SUM(H114*VLOOKUP(G114,Tabela1[],2,FALSE))</f>
        <v>60000</v>
      </c>
    </row>
    <row r="115" spans="1:9" x14ac:dyDescent="0.35">
      <c r="A115" s="1">
        <f t="shared" si="0"/>
        <v>2019</v>
      </c>
      <c r="B115" s="1" t="str">
        <f t="shared" si="1"/>
        <v>FEV</v>
      </c>
      <c r="C115" s="2">
        <v>43523</v>
      </c>
      <c r="D115" s="14" t="s">
        <v>21</v>
      </c>
      <c r="E115" t="s">
        <v>48</v>
      </c>
      <c r="F115" t="s">
        <v>14</v>
      </c>
      <c r="G115" t="s">
        <v>31</v>
      </c>
      <c r="H115" s="7">
        <v>1400</v>
      </c>
      <c r="I115" s="3">
        <f>SUM(H115*VLOOKUP(G115,Tabela1[],2,FALSE))</f>
        <v>70000</v>
      </c>
    </row>
    <row r="116" spans="1:9" x14ac:dyDescent="0.35">
      <c r="A116" s="1">
        <f t="shared" si="0"/>
        <v>2019</v>
      </c>
      <c r="B116" s="1" t="str">
        <f t="shared" si="1"/>
        <v>MAI</v>
      </c>
      <c r="C116" s="2">
        <v>43593</v>
      </c>
      <c r="D116" s="14" t="s">
        <v>21</v>
      </c>
      <c r="E116" t="s">
        <v>46</v>
      </c>
      <c r="F116" t="s">
        <v>9</v>
      </c>
      <c r="G116" t="s">
        <v>27</v>
      </c>
      <c r="H116" s="7">
        <v>2298</v>
      </c>
      <c r="I116" s="3">
        <f>SUM(H116*VLOOKUP(G116,Tabela1[],2,FALSE))</f>
        <v>114900</v>
      </c>
    </row>
    <row r="117" spans="1:9" x14ac:dyDescent="0.35">
      <c r="A117" s="1">
        <f t="shared" si="0"/>
        <v>2019</v>
      </c>
      <c r="B117" s="1" t="str">
        <f t="shared" si="1"/>
        <v>JUL</v>
      </c>
      <c r="C117" s="2">
        <v>43653</v>
      </c>
      <c r="D117" s="14" t="s">
        <v>21</v>
      </c>
      <c r="E117" t="s">
        <v>49</v>
      </c>
      <c r="F117" t="s">
        <v>10</v>
      </c>
      <c r="G117" t="s">
        <v>29</v>
      </c>
      <c r="H117" s="7">
        <v>2108</v>
      </c>
      <c r="I117" s="3">
        <f>SUM(H117*VLOOKUP(G117,Tabela1[],2,FALSE))</f>
        <v>126480</v>
      </c>
    </row>
    <row r="118" spans="1:9" x14ac:dyDescent="0.35">
      <c r="A118" s="1">
        <f t="shared" si="0"/>
        <v>2019</v>
      </c>
      <c r="B118" s="1" t="str">
        <f t="shared" si="1"/>
        <v>DEZ</v>
      </c>
      <c r="C118" s="2">
        <v>43811</v>
      </c>
      <c r="D118" s="14" t="s">
        <v>21</v>
      </c>
      <c r="E118" t="s">
        <v>26</v>
      </c>
      <c r="F118" t="s">
        <v>11</v>
      </c>
      <c r="G118" t="s">
        <v>29</v>
      </c>
      <c r="H118" s="7">
        <v>1881</v>
      </c>
      <c r="I118" s="3">
        <f>SUM(H118*VLOOKUP(G118,Tabela1[],2,FALSE))</f>
        <v>112860</v>
      </c>
    </row>
    <row r="119" spans="1:9" x14ac:dyDescent="0.35">
      <c r="A119" s="1">
        <f t="shared" si="0"/>
        <v>2019</v>
      </c>
      <c r="B119" s="1" t="str">
        <f t="shared" si="1"/>
        <v>NOV</v>
      </c>
      <c r="C119" s="2">
        <v>43778</v>
      </c>
      <c r="D119" s="14" t="s">
        <v>21</v>
      </c>
      <c r="E119" t="s">
        <v>50</v>
      </c>
      <c r="F119" t="s">
        <v>14</v>
      </c>
      <c r="G119" t="s">
        <v>30</v>
      </c>
      <c r="H119" s="7">
        <v>4737</v>
      </c>
      <c r="I119" s="3">
        <f>SUM(H119*VLOOKUP(G119,Tabela1[],2,FALSE))</f>
        <v>23685</v>
      </c>
    </row>
    <row r="120" spans="1:9" x14ac:dyDescent="0.35">
      <c r="A120" s="1">
        <f t="shared" si="0"/>
        <v>2019</v>
      </c>
      <c r="B120" s="1" t="str">
        <f t="shared" si="1"/>
        <v>OUT</v>
      </c>
      <c r="C120" s="2">
        <v>43748</v>
      </c>
      <c r="D120" s="14" t="s">
        <v>22</v>
      </c>
      <c r="E120" t="s">
        <v>47</v>
      </c>
      <c r="F120" t="s">
        <v>10</v>
      </c>
      <c r="G120" t="s">
        <v>27</v>
      </c>
      <c r="H120" s="7">
        <v>3417</v>
      </c>
      <c r="I120" s="3">
        <f>SUM(H120*VLOOKUP(G120,Tabela1[],2,FALSE))</f>
        <v>170850</v>
      </c>
    </row>
    <row r="121" spans="1:9" x14ac:dyDescent="0.35">
      <c r="A121" s="1">
        <f t="shared" si="0"/>
        <v>2019</v>
      </c>
      <c r="B121" s="1" t="str">
        <f t="shared" si="1"/>
        <v>JAN</v>
      </c>
      <c r="C121" s="2">
        <v>43484</v>
      </c>
      <c r="D121" s="14" t="s">
        <v>22</v>
      </c>
      <c r="E121" t="s">
        <v>48</v>
      </c>
      <c r="F121" t="s">
        <v>10</v>
      </c>
      <c r="G121" t="s">
        <v>27</v>
      </c>
      <c r="H121" s="7">
        <v>1591</v>
      </c>
      <c r="I121" s="3">
        <f>SUM(H121*VLOOKUP(G121,Tabela1[],2,FALSE))</f>
        <v>79550</v>
      </c>
    </row>
    <row r="122" spans="1:9" x14ac:dyDescent="0.35">
      <c r="A122" s="1">
        <f t="shared" si="0"/>
        <v>2019</v>
      </c>
      <c r="B122" s="1" t="str">
        <f t="shared" si="1"/>
        <v>NOV</v>
      </c>
      <c r="C122" s="2">
        <v>43794</v>
      </c>
      <c r="D122" s="14" t="s">
        <v>22</v>
      </c>
      <c r="E122" t="s">
        <v>24</v>
      </c>
      <c r="F122" t="s">
        <v>11</v>
      </c>
      <c r="G122" t="s">
        <v>27</v>
      </c>
      <c r="H122" s="7">
        <v>3088</v>
      </c>
      <c r="I122" s="3">
        <f>SUM(H122*VLOOKUP(G122,Tabela1[],2,FALSE))</f>
        <v>154400</v>
      </c>
    </row>
    <row r="123" spans="1:9" x14ac:dyDescent="0.35">
      <c r="A123" s="1">
        <f t="shared" si="0"/>
        <v>2019</v>
      </c>
      <c r="B123" s="1" t="str">
        <f t="shared" si="1"/>
        <v>DEZ</v>
      </c>
      <c r="C123" s="2">
        <v>43827</v>
      </c>
      <c r="D123" s="14" t="s">
        <v>22</v>
      </c>
      <c r="E123" t="s">
        <v>25</v>
      </c>
      <c r="F123" t="s">
        <v>9</v>
      </c>
      <c r="G123" t="s">
        <v>28</v>
      </c>
      <c r="H123" s="7">
        <v>978</v>
      </c>
      <c r="I123" s="3">
        <f>SUM(H123*VLOOKUP(G123,Tabela1[],2,FALSE))</f>
        <v>48900</v>
      </c>
    </row>
    <row r="124" spans="1:9" x14ac:dyDescent="0.35">
      <c r="A124" s="1">
        <f t="shared" si="0"/>
        <v>2019</v>
      </c>
      <c r="B124" s="1" t="str">
        <f t="shared" si="1"/>
        <v>FEV</v>
      </c>
      <c r="C124" s="2">
        <v>43518</v>
      </c>
      <c r="D124" s="14" t="s">
        <v>22</v>
      </c>
      <c r="E124" t="s">
        <v>24</v>
      </c>
      <c r="F124" t="s">
        <v>9</v>
      </c>
      <c r="G124" t="s">
        <v>30</v>
      </c>
      <c r="H124" s="7">
        <v>1091</v>
      </c>
      <c r="I124" s="3">
        <f>SUM(H124*VLOOKUP(G124,Tabela1[],2,FALSE))</f>
        <v>5455</v>
      </c>
    </row>
    <row r="125" spans="1:9" x14ac:dyDescent="0.35">
      <c r="A125" s="1">
        <f t="shared" ref="A125:A130" si="32">YEAR(C125)</f>
        <v>2019</v>
      </c>
      <c r="B125" s="1" t="str">
        <f t="shared" ref="B125:B130" si="33">UPPER(TEXT(C125,"mmm"))</f>
        <v>ABR</v>
      </c>
      <c r="C125" s="2">
        <v>43573</v>
      </c>
      <c r="D125" s="14" t="s">
        <v>22</v>
      </c>
      <c r="E125" t="s">
        <v>48</v>
      </c>
      <c r="F125" t="s">
        <v>9</v>
      </c>
      <c r="G125" t="s">
        <v>30</v>
      </c>
      <c r="H125" s="7">
        <v>869</v>
      </c>
      <c r="I125" s="3">
        <f>SUM(H125*VLOOKUP(G125,Tabela1[],2,FALSE))</f>
        <v>4345</v>
      </c>
    </row>
    <row r="126" spans="1:9" x14ac:dyDescent="0.35">
      <c r="A126" s="1">
        <f t="shared" si="32"/>
        <v>2019</v>
      </c>
      <c r="B126" s="1" t="str">
        <f t="shared" si="33"/>
        <v>JAN</v>
      </c>
      <c r="C126" s="2">
        <v>43474</v>
      </c>
      <c r="D126" s="14" t="s">
        <v>20</v>
      </c>
      <c r="E126" t="s">
        <v>45</v>
      </c>
      <c r="F126" t="s">
        <v>9</v>
      </c>
      <c r="G126" t="s">
        <v>30</v>
      </c>
      <c r="H126" s="7">
        <v>627</v>
      </c>
      <c r="I126" s="3">
        <f>SUM(H126*VLOOKUP(G126,Tabela1[],2,FALSE))</f>
        <v>3135</v>
      </c>
    </row>
    <row r="127" spans="1:9" x14ac:dyDescent="0.35">
      <c r="A127" s="1">
        <f t="shared" si="32"/>
        <v>2019</v>
      </c>
      <c r="B127" s="1" t="str">
        <f t="shared" si="33"/>
        <v>JAN</v>
      </c>
      <c r="C127" s="2">
        <v>43493</v>
      </c>
      <c r="D127" s="14" t="s">
        <v>21</v>
      </c>
      <c r="E127" t="s">
        <v>46</v>
      </c>
      <c r="F127" t="s">
        <v>9</v>
      </c>
      <c r="G127" t="s">
        <v>30</v>
      </c>
      <c r="H127" s="7">
        <v>2330</v>
      </c>
      <c r="I127" s="3">
        <f>SUM(H127*VLOOKUP(G127,Tabela1[],2,FALSE))</f>
        <v>11650</v>
      </c>
    </row>
    <row r="128" spans="1:9" x14ac:dyDescent="0.35">
      <c r="A128" s="1">
        <f t="shared" si="32"/>
        <v>2019</v>
      </c>
      <c r="B128" s="1" t="str">
        <f t="shared" si="33"/>
        <v>JAN</v>
      </c>
      <c r="C128" s="2">
        <v>43467</v>
      </c>
      <c r="D128" s="14" t="s">
        <v>22</v>
      </c>
      <c r="E128" t="s">
        <v>23</v>
      </c>
      <c r="F128" t="s">
        <v>9</v>
      </c>
      <c r="G128" t="s">
        <v>30</v>
      </c>
      <c r="H128" s="7">
        <v>4972</v>
      </c>
      <c r="I128" s="3">
        <f>SUM(H128*VLOOKUP(G128,Tabela1[],2,FALSE))</f>
        <v>24860</v>
      </c>
    </row>
    <row r="129" spans="1:9" x14ac:dyDescent="0.35">
      <c r="A129" s="1">
        <f t="shared" si="32"/>
        <v>2019</v>
      </c>
      <c r="B129" s="1" t="str">
        <f t="shared" si="33"/>
        <v>FEV</v>
      </c>
      <c r="C129" s="2">
        <v>43503</v>
      </c>
      <c r="D129" s="14" t="s">
        <v>20</v>
      </c>
      <c r="E129" t="s">
        <v>49</v>
      </c>
      <c r="F129" t="s">
        <v>12</v>
      </c>
      <c r="G129" t="s">
        <v>30</v>
      </c>
      <c r="H129" s="7">
        <v>4774</v>
      </c>
      <c r="I129" s="3">
        <f>SUM(H129*VLOOKUP(G129,Tabela1[],2,FALSE))</f>
        <v>23870</v>
      </c>
    </row>
    <row r="130" spans="1:9" x14ac:dyDescent="0.35">
      <c r="A130" s="1">
        <f t="shared" si="32"/>
        <v>2019</v>
      </c>
      <c r="B130" s="1" t="str">
        <f t="shared" si="33"/>
        <v>JAN</v>
      </c>
      <c r="C130" s="2">
        <v>43473</v>
      </c>
      <c r="D130" s="14" t="s">
        <v>20</v>
      </c>
      <c r="E130" t="s">
        <v>24</v>
      </c>
      <c r="F130" t="s">
        <v>9</v>
      </c>
      <c r="G130" t="s">
        <v>30</v>
      </c>
      <c r="H130" s="7">
        <v>3157</v>
      </c>
      <c r="I130" s="3">
        <f>SUM(H130*VLOOKUP(G130,Tabela1[],2,FALSE))</f>
        <v>15785</v>
      </c>
    </row>
    <row r="131" spans="1:9" x14ac:dyDescent="0.35">
      <c r="A131" s="1">
        <f t="shared" ref="A131:A148" si="34">YEAR(C131)</f>
        <v>2019</v>
      </c>
      <c r="B131" s="1" t="str">
        <f t="shared" ref="B131:B148" si="35">UPPER(TEXT(C131,"mmm"))</f>
        <v>AGO</v>
      </c>
      <c r="C131" s="2">
        <v>43694</v>
      </c>
      <c r="D131" t="s">
        <v>21</v>
      </c>
      <c r="E131" t="s">
        <v>48</v>
      </c>
      <c r="F131" t="s">
        <v>14</v>
      </c>
      <c r="G131" t="s">
        <v>28</v>
      </c>
      <c r="H131" s="7">
        <v>3572</v>
      </c>
      <c r="I131" s="3">
        <f>SUM(H131*VLOOKUP(G131,Tabela1[],2,FALSE))</f>
        <v>178600</v>
      </c>
    </row>
    <row r="132" spans="1:9" x14ac:dyDescent="0.35">
      <c r="A132" s="1">
        <f t="shared" si="34"/>
        <v>2019</v>
      </c>
      <c r="B132" s="1" t="str">
        <f t="shared" si="35"/>
        <v>JAN</v>
      </c>
      <c r="C132" s="2">
        <v>43478</v>
      </c>
      <c r="D132" t="s">
        <v>21</v>
      </c>
      <c r="E132" t="s">
        <v>50</v>
      </c>
      <c r="F132" t="s">
        <v>10</v>
      </c>
      <c r="G132" t="s">
        <v>30</v>
      </c>
      <c r="H132" s="7">
        <v>1441</v>
      </c>
      <c r="I132" s="3">
        <f>SUM(H132*VLOOKUP(G132,Tabela1[],2,FALSE))</f>
        <v>7205</v>
      </c>
    </row>
    <row r="133" spans="1:9" x14ac:dyDescent="0.35">
      <c r="A133" s="1">
        <f t="shared" si="34"/>
        <v>2019</v>
      </c>
      <c r="B133" s="1" t="str">
        <f t="shared" si="35"/>
        <v>DEZ</v>
      </c>
      <c r="C133" s="2">
        <v>43810</v>
      </c>
      <c r="D133" t="s">
        <v>22</v>
      </c>
      <c r="E133" t="s">
        <v>46</v>
      </c>
      <c r="F133" t="s">
        <v>10</v>
      </c>
      <c r="G133" t="s">
        <v>30</v>
      </c>
      <c r="H133" s="7">
        <v>2840</v>
      </c>
      <c r="I133" s="3">
        <f>SUM(H133*VLOOKUP(G133,Tabela1[],2,FALSE))</f>
        <v>14200</v>
      </c>
    </row>
    <row r="134" spans="1:9" x14ac:dyDescent="0.35">
      <c r="A134" s="1">
        <f t="shared" si="34"/>
        <v>2019</v>
      </c>
      <c r="B134" s="1" t="str">
        <f t="shared" si="35"/>
        <v>AGO</v>
      </c>
      <c r="C134" s="2">
        <v>43688</v>
      </c>
      <c r="D134" t="s">
        <v>22</v>
      </c>
      <c r="E134" t="s">
        <v>47</v>
      </c>
      <c r="F134" t="s">
        <v>11</v>
      </c>
      <c r="G134" t="s">
        <v>28</v>
      </c>
      <c r="H134" s="7">
        <v>3744</v>
      </c>
      <c r="I134" s="3">
        <f>SUM(H134*VLOOKUP(G134,Tabela1[],2,FALSE))</f>
        <v>187200</v>
      </c>
    </row>
    <row r="135" spans="1:9" x14ac:dyDescent="0.35">
      <c r="A135" s="1">
        <f t="shared" si="34"/>
        <v>2019</v>
      </c>
      <c r="B135" s="1" t="str">
        <f t="shared" si="35"/>
        <v>ABR</v>
      </c>
      <c r="C135" s="2">
        <v>43585</v>
      </c>
      <c r="D135" t="s">
        <v>22</v>
      </c>
      <c r="E135" t="s">
        <v>24</v>
      </c>
      <c r="F135" t="s">
        <v>9</v>
      </c>
      <c r="G135" t="s">
        <v>27</v>
      </c>
      <c r="H135" s="7">
        <v>2035</v>
      </c>
      <c r="I135" s="3">
        <f>SUM(H135*VLOOKUP(G135,Tabela1[],2,FALSE))</f>
        <v>101750</v>
      </c>
    </row>
    <row r="136" spans="1:9" x14ac:dyDescent="0.35">
      <c r="A136" s="1">
        <f t="shared" si="34"/>
        <v>2019</v>
      </c>
      <c r="B136" s="1" t="str">
        <f t="shared" si="35"/>
        <v>FEV</v>
      </c>
      <c r="C136" s="2">
        <v>43500</v>
      </c>
      <c r="D136" t="s">
        <v>22</v>
      </c>
      <c r="E136" t="s">
        <v>25</v>
      </c>
      <c r="F136" t="s">
        <v>9</v>
      </c>
      <c r="G136" t="s">
        <v>28</v>
      </c>
      <c r="H136" s="7">
        <v>4783</v>
      </c>
      <c r="I136" s="3">
        <f>SUM(H136*VLOOKUP(G136,Tabela1[],2,FALSE))</f>
        <v>239150</v>
      </c>
    </row>
    <row r="137" spans="1:9" x14ac:dyDescent="0.35">
      <c r="A137" s="1">
        <f t="shared" si="34"/>
        <v>2019</v>
      </c>
      <c r="B137" s="1" t="str">
        <f t="shared" si="35"/>
        <v>FEV</v>
      </c>
      <c r="C137" s="2">
        <v>43510</v>
      </c>
      <c r="D137" t="s">
        <v>22</v>
      </c>
      <c r="E137" t="s">
        <v>26</v>
      </c>
      <c r="F137" t="s">
        <v>12</v>
      </c>
      <c r="G137" t="s">
        <v>30</v>
      </c>
      <c r="H137" s="7">
        <v>642</v>
      </c>
      <c r="I137" s="3">
        <f>SUM(H137*VLOOKUP(G137,Tabela1[],2,FALSE))</f>
        <v>3210</v>
      </c>
    </row>
    <row r="138" spans="1:9" x14ac:dyDescent="0.35">
      <c r="A138" s="1">
        <f t="shared" si="34"/>
        <v>2019</v>
      </c>
      <c r="B138" s="1" t="str">
        <f t="shared" si="35"/>
        <v>OUT</v>
      </c>
      <c r="C138" s="2">
        <v>43755</v>
      </c>
      <c r="D138" t="s">
        <v>22</v>
      </c>
      <c r="E138" t="s">
        <v>25</v>
      </c>
      <c r="F138" t="s">
        <v>12</v>
      </c>
      <c r="G138" t="s">
        <v>30</v>
      </c>
      <c r="H138" s="7">
        <v>4431</v>
      </c>
      <c r="I138" s="3">
        <f>SUM(H138*VLOOKUP(G138,Tabela1[],2,FALSE))</f>
        <v>22155</v>
      </c>
    </row>
    <row r="139" spans="1:9" x14ac:dyDescent="0.35">
      <c r="A139" s="1">
        <f t="shared" si="34"/>
        <v>2019</v>
      </c>
      <c r="B139" s="1" t="str">
        <f t="shared" si="35"/>
        <v>MAI</v>
      </c>
      <c r="C139" s="2">
        <v>43594</v>
      </c>
      <c r="D139" t="s">
        <v>20</v>
      </c>
      <c r="E139" t="s">
        <v>45</v>
      </c>
      <c r="F139" t="s">
        <v>14</v>
      </c>
      <c r="G139" t="s">
        <v>30</v>
      </c>
      <c r="H139" s="7">
        <v>1254</v>
      </c>
      <c r="I139" s="3">
        <f>SUM(H139*VLOOKUP(G139,Tabela1[],2,FALSE))</f>
        <v>6270</v>
      </c>
    </row>
    <row r="140" spans="1:9" x14ac:dyDescent="0.35">
      <c r="A140" s="1">
        <f t="shared" si="34"/>
        <v>2019</v>
      </c>
      <c r="B140" s="1" t="str">
        <f t="shared" si="35"/>
        <v>DEZ</v>
      </c>
      <c r="C140" s="2">
        <v>43813</v>
      </c>
      <c r="D140" t="s">
        <v>21</v>
      </c>
      <c r="E140" t="s">
        <v>23</v>
      </c>
      <c r="F140" t="s">
        <v>9</v>
      </c>
      <c r="G140" t="s">
        <v>27</v>
      </c>
      <c r="H140" s="7">
        <v>3635</v>
      </c>
      <c r="I140" s="3">
        <f>SUM(H140*VLOOKUP(G140,Tabela1[],2,FALSE))</f>
        <v>181750</v>
      </c>
    </row>
    <row r="141" spans="1:9" x14ac:dyDescent="0.35">
      <c r="A141" s="1">
        <f t="shared" si="34"/>
        <v>2019</v>
      </c>
      <c r="B141" s="1" t="str">
        <f t="shared" si="35"/>
        <v>SET</v>
      </c>
      <c r="C141" s="2">
        <v>43718</v>
      </c>
      <c r="D141" t="s">
        <v>22</v>
      </c>
      <c r="E141" t="s">
        <v>26</v>
      </c>
      <c r="F141" t="s">
        <v>10</v>
      </c>
      <c r="G141" t="s">
        <v>29</v>
      </c>
      <c r="H141" s="7">
        <v>2489</v>
      </c>
      <c r="I141" s="3">
        <f>SUM(H141*VLOOKUP(G141,Tabela1[],2,FALSE))</f>
        <v>149340</v>
      </c>
    </row>
    <row r="142" spans="1:9" x14ac:dyDescent="0.35">
      <c r="A142" s="1">
        <f t="shared" si="34"/>
        <v>2019</v>
      </c>
      <c r="B142" s="1" t="str">
        <f t="shared" si="35"/>
        <v>JUL</v>
      </c>
      <c r="C142" s="2">
        <v>43658</v>
      </c>
      <c r="D142" t="s">
        <v>20</v>
      </c>
      <c r="E142" t="s">
        <v>24</v>
      </c>
      <c r="F142" t="s">
        <v>11</v>
      </c>
      <c r="G142" t="s">
        <v>29</v>
      </c>
      <c r="H142" s="7">
        <v>1950</v>
      </c>
      <c r="I142" s="3">
        <f>SUM(H142*VLOOKUP(G142,Tabela1[],2,FALSE))</f>
        <v>117000</v>
      </c>
    </row>
    <row r="143" spans="1:9" x14ac:dyDescent="0.35">
      <c r="A143" s="1">
        <f t="shared" si="34"/>
        <v>2019</v>
      </c>
      <c r="B143" s="1" t="str">
        <f t="shared" si="35"/>
        <v>NOV</v>
      </c>
      <c r="C143" s="2">
        <v>43795</v>
      </c>
      <c r="D143" t="s">
        <v>20</v>
      </c>
      <c r="E143" t="s">
        <v>23</v>
      </c>
      <c r="F143" t="s">
        <v>14</v>
      </c>
      <c r="G143" t="s">
        <v>30</v>
      </c>
      <c r="H143" s="7">
        <v>3538</v>
      </c>
      <c r="I143" s="3">
        <f>SUM(H143*VLOOKUP(G143,Tabela1[],2,FALSE))</f>
        <v>17690</v>
      </c>
    </row>
    <row r="144" spans="1:9" x14ac:dyDescent="0.35">
      <c r="A144" s="1">
        <f t="shared" si="34"/>
        <v>2019</v>
      </c>
      <c r="B144" s="1" t="str">
        <f t="shared" si="35"/>
        <v>AGO</v>
      </c>
      <c r="C144" s="2">
        <v>43689</v>
      </c>
      <c r="D144" t="s">
        <v>20</v>
      </c>
      <c r="E144" t="s">
        <v>46</v>
      </c>
      <c r="F144" t="s">
        <v>10</v>
      </c>
      <c r="G144" t="s">
        <v>27</v>
      </c>
      <c r="H144" s="7">
        <v>3431</v>
      </c>
      <c r="I144" s="3">
        <f>SUM(H144*VLOOKUP(G144,Tabela1[],2,FALSE))</f>
        <v>171550</v>
      </c>
    </row>
    <row r="145" spans="1:9" x14ac:dyDescent="0.35">
      <c r="A145" s="1">
        <f t="shared" si="34"/>
        <v>2019</v>
      </c>
      <c r="B145" s="1" t="str">
        <f t="shared" si="35"/>
        <v>FEV</v>
      </c>
      <c r="C145" s="2">
        <v>43503</v>
      </c>
      <c r="D145" t="s">
        <v>20</v>
      </c>
      <c r="E145" t="s">
        <v>24</v>
      </c>
      <c r="F145" t="s">
        <v>10</v>
      </c>
      <c r="G145" t="s">
        <v>27</v>
      </c>
      <c r="H145" s="7">
        <v>1134</v>
      </c>
      <c r="I145" s="3">
        <f>SUM(H145*VLOOKUP(G145,Tabela1[],2,FALSE))</f>
        <v>56700</v>
      </c>
    </row>
    <row r="146" spans="1:9" x14ac:dyDescent="0.35">
      <c r="A146" s="1">
        <f t="shared" si="34"/>
        <v>2019</v>
      </c>
      <c r="B146" s="1" t="str">
        <f t="shared" si="35"/>
        <v>SET</v>
      </c>
      <c r="C146" s="2">
        <v>43738</v>
      </c>
      <c r="D146" t="s">
        <v>21</v>
      </c>
      <c r="E146" t="s">
        <v>46</v>
      </c>
      <c r="F146" t="s">
        <v>11</v>
      </c>
      <c r="G146" t="s">
        <v>27</v>
      </c>
      <c r="H146" s="7">
        <v>2574</v>
      </c>
      <c r="I146" s="3">
        <f>SUM(H146*VLOOKUP(G146,Tabela1[],2,FALSE))</f>
        <v>128700</v>
      </c>
    </row>
    <row r="147" spans="1:9" x14ac:dyDescent="0.35">
      <c r="A147" s="1">
        <f t="shared" si="34"/>
        <v>2019</v>
      </c>
      <c r="B147" s="1" t="str">
        <f t="shared" si="35"/>
        <v>SET</v>
      </c>
      <c r="C147" s="2">
        <v>43709</v>
      </c>
      <c r="D147" t="s">
        <v>21</v>
      </c>
      <c r="E147" t="s">
        <v>26</v>
      </c>
      <c r="F147" t="s">
        <v>9</v>
      </c>
      <c r="G147" t="s">
        <v>28</v>
      </c>
      <c r="H147" s="7">
        <v>890</v>
      </c>
      <c r="I147" s="3">
        <f>SUM(H147*VLOOKUP(G147,Tabela1[],2,FALSE))</f>
        <v>44500</v>
      </c>
    </row>
    <row r="148" spans="1:9" x14ac:dyDescent="0.35">
      <c r="A148" s="1">
        <f t="shared" si="34"/>
        <v>2019</v>
      </c>
      <c r="B148" s="1" t="str">
        <f t="shared" si="35"/>
        <v>JUN</v>
      </c>
      <c r="C148" s="2">
        <v>43621</v>
      </c>
      <c r="D148" t="s">
        <v>22</v>
      </c>
      <c r="E148" t="s">
        <v>23</v>
      </c>
      <c r="F148" t="s">
        <v>9</v>
      </c>
      <c r="G148" t="s">
        <v>30</v>
      </c>
      <c r="H148" s="7">
        <v>3537</v>
      </c>
      <c r="I148" s="3">
        <f>SUM(H148*VLOOKUP(G148,Tabela1[],2,FALSE))</f>
        <v>17685</v>
      </c>
    </row>
    <row r="149" spans="1:9" x14ac:dyDescent="0.35">
      <c r="A149" s="1">
        <f t="shared" ref="A149:A154" si="36">YEAR(C149)</f>
        <v>2019</v>
      </c>
      <c r="B149" s="1" t="str">
        <f t="shared" ref="B149:B154" si="37">UPPER(TEXT(C149,"mmm"))</f>
        <v>JUN</v>
      </c>
      <c r="C149" s="2">
        <v>43639</v>
      </c>
      <c r="D149" t="s">
        <v>21</v>
      </c>
      <c r="E149" t="s">
        <v>46</v>
      </c>
      <c r="F149" t="s">
        <v>9</v>
      </c>
      <c r="G149" t="s">
        <v>30</v>
      </c>
      <c r="H149" s="7">
        <v>3103</v>
      </c>
      <c r="I149" s="3">
        <f>SUM(H149*VLOOKUP(G149,Tabela1[],2,FALSE))</f>
        <v>15515</v>
      </c>
    </row>
    <row r="150" spans="1:9" x14ac:dyDescent="0.35">
      <c r="A150" s="1">
        <f t="shared" si="36"/>
        <v>2019</v>
      </c>
      <c r="B150" s="1" t="str">
        <f t="shared" si="37"/>
        <v>MAI</v>
      </c>
      <c r="C150" s="2">
        <v>43589</v>
      </c>
      <c r="D150" t="s">
        <v>21</v>
      </c>
      <c r="E150" t="s">
        <v>25</v>
      </c>
      <c r="F150" t="s">
        <v>9</v>
      </c>
      <c r="G150" t="s">
        <v>30</v>
      </c>
      <c r="H150" s="7">
        <v>3937</v>
      </c>
      <c r="I150" s="3">
        <f>SUM(H150*VLOOKUP(G150,Tabela1[],2,FALSE))</f>
        <v>19685</v>
      </c>
    </row>
    <row r="151" spans="1:9" x14ac:dyDescent="0.35">
      <c r="A151" s="1">
        <f t="shared" si="36"/>
        <v>2019</v>
      </c>
      <c r="B151" s="1" t="str">
        <f t="shared" si="37"/>
        <v>MAR</v>
      </c>
      <c r="C151" s="2">
        <v>43549</v>
      </c>
      <c r="D151" t="s">
        <v>21</v>
      </c>
      <c r="E151" t="s">
        <v>48</v>
      </c>
      <c r="F151" t="s">
        <v>9</v>
      </c>
      <c r="G151" t="s">
        <v>30</v>
      </c>
      <c r="H151" s="7">
        <v>3208</v>
      </c>
      <c r="I151" s="3">
        <f>SUM(H151*VLOOKUP(G151,Tabela1[],2,FALSE))</f>
        <v>16040</v>
      </c>
    </row>
    <row r="152" spans="1:9" x14ac:dyDescent="0.35">
      <c r="A152" s="1">
        <f t="shared" si="36"/>
        <v>2019</v>
      </c>
      <c r="B152" s="1" t="str">
        <f t="shared" si="37"/>
        <v>JUL</v>
      </c>
      <c r="C152" s="2">
        <v>43662</v>
      </c>
      <c r="D152" t="s">
        <v>21</v>
      </c>
      <c r="E152" t="s">
        <v>46</v>
      </c>
      <c r="F152" t="s">
        <v>9</v>
      </c>
      <c r="G152" t="s">
        <v>30</v>
      </c>
      <c r="H152" s="7">
        <v>1432</v>
      </c>
      <c r="I152" s="3">
        <f>SUM(H152*VLOOKUP(G152,Tabela1[],2,FALSE))</f>
        <v>7160</v>
      </c>
    </row>
    <row r="153" spans="1:9" x14ac:dyDescent="0.35">
      <c r="A153" s="1">
        <f t="shared" si="36"/>
        <v>2019</v>
      </c>
      <c r="B153" s="1" t="str">
        <f t="shared" si="37"/>
        <v>MAR</v>
      </c>
      <c r="C153" s="2">
        <v>43527</v>
      </c>
      <c r="D153" t="s">
        <v>21</v>
      </c>
      <c r="E153" t="s">
        <v>25</v>
      </c>
      <c r="F153" t="s">
        <v>12</v>
      </c>
      <c r="G153" t="s">
        <v>30</v>
      </c>
      <c r="H153" s="7">
        <v>2206</v>
      </c>
      <c r="I153" s="3">
        <f>SUM(H153*VLOOKUP(G153,Tabela1[],2,FALSE))</f>
        <v>11030</v>
      </c>
    </row>
    <row r="154" spans="1:9" x14ac:dyDescent="0.35">
      <c r="A154" s="1">
        <f t="shared" si="36"/>
        <v>2019</v>
      </c>
      <c r="B154" s="1" t="str">
        <f t="shared" si="37"/>
        <v>FEV</v>
      </c>
      <c r="C154" s="2">
        <v>43507</v>
      </c>
      <c r="D154" t="s">
        <v>21</v>
      </c>
      <c r="E154" t="s">
        <v>48</v>
      </c>
      <c r="F154" t="s">
        <v>9</v>
      </c>
      <c r="G154" t="s">
        <v>30</v>
      </c>
      <c r="H154" s="7">
        <v>597</v>
      </c>
      <c r="I154" s="3">
        <f>SUM(H154*VLOOKUP(G154,Tabela1[],2,FALSE))</f>
        <v>2985</v>
      </c>
    </row>
    <row r="155" spans="1:9" x14ac:dyDescent="0.35">
      <c r="A155" s="1">
        <f t="shared" ref="A155:A169" si="38">YEAR(C155)</f>
        <v>2019</v>
      </c>
      <c r="B155" s="1" t="str">
        <f t="shared" ref="B155:B169" si="39">UPPER(TEXT(C155,"mmm"))</f>
        <v>JUN</v>
      </c>
      <c r="C155" s="2">
        <v>43619</v>
      </c>
      <c r="D155" t="s">
        <v>22</v>
      </c>
      <c r="E155" t="s">
        <v>26</v>
      </c>
      <c r="F155" t="s">
        <v>11</v>
      </c>
      <c r="G155" t="s">
        <v>28</v>
      </c>
      <c r="H155" s="7">
        <v>1029</v>
      </c>
      <c r="I155" s="3">
        <f>SUM(H155*VLOOKUP(G155,Tabela1[],2,FALSE))</f>
        <v>51450</v>
      </c>
    </row>
    <row r="156" spans="1:9" x14ac:dyDescent="0.35">
      <c r="A156" s="1">
        <f t="shared" si="38"/>
        <v>2019</v>
      </c>
      <c r="B156" s="1" t="str">
        <f t="shared" si="39"/>
        <v>OUT</v>
      </c>
      <c r="C156" s="2">
        <v>43768</v>
      </c>
      <c r="D156" t="s">
        <v>22</v>
      </c>
      <c r="E156" t="s">
        <v>49</v>
      </c>
      <c r="F156" t="s">
        <v>9</v>
      </c>
      <c r="G156" t="s">
        <v>27</v>
      </c>
      <c r="H156" s="7">
        <v>2589</v>
      </c>
      <c r="I156" s="3">
        <f>SUM(H156*VLOOKUP(G156,Tabela1[],2,FALSE))</f>
        <v>129450</v>
      </c>
    </row>
    <row r="157" spans="1:9" x14ac:dyDescent="0.35">
      <c r="A157" s="1">
        <f t="shared" si="38"/>
        <v>2019</v>
      </c>
      <c r="B157" s="1" t="str">
        <f t="shared" si="39"/>
        <v>OUT</v>
      </c>
      <c r="C157" s="2">
        <v>43742</v>
      </c>
      <c r="D157" t="s">
        <v>22</v>
      </c>
      <c r="E157" t="s">
        <v>48</v>
      </c>
      <c r="F157" t="s">
        <v>9</v>
      </c>
      <c r="G157" t="s">
        <v>28</v>
      </c>
      <c r="H157" s="7">
        <v>4098</v>
      </c>
      <c r="I157" s="3">
        <f>SUM(H157*VLOOKUP(G157,Tabela1[],2,FALSE))</f>
        <v>204900</v>
      </c>
    </row>
    <row r="158" spans="1:9" x14ac:dyDescent="0.35">
      <c r="A158" s="1">
        <f t="shared" si="38"/>
        <v>2019</v>
      </c>
      <c r="B158" s="1" t="str">
        <f t="shared" si="39"/>
        <v>SET</v>
      </c>
      <c r="C158" s="2">
        <v>43718</v>
      </c>
      <c r="D158" t="s">
        <v>22</v>
      </c>
      <c r="E158" t="s">
        <v>46</v>
      </c>
      <c r="F158" t="s">
        <v>12</v>
      </c>
      <c r="G158" t="s">
        <v>30</v>
      </c>
      <c r="H158" s="7">
        <v>4338</v>
      </c>
      <c r="I158" s="3">
        <f>SUM(H158*VLOOKUP(G158,Tabela1[],2,FALSE))</f>
        <v>21690</v>
      </c>
    </row>
    <row r="159" spans="1:9" x14ac:dyDescent="0.35">
      <c r="A159" s="1">
        <f t="shared" si="38"/>
        <v>2019</v>
      </c>
      <c r="B159" s="1" t="str">
        <f t="shared" si="39"/>
        <v>JUL</v>
      </c>
      <c r="C159" s="2">
        <v>43661</v>
      </c>
      <c r="D159" t="s">
        <v>22</v>
      </c>
      <c r="E159" t="s">
        <v>47</v>
      </c>
      <c r="F159" t="s">
        <v>12</v>
      </c>
      <c r="G159" t="s">
        <v>30</v>
      </c>
      <c r="H159" s="7">
        <v>2657</v>
      </c>
      <c r="I159" s="3">
        <f>SUM(H159*VLOOKUP(G159,Tabela1[],2,FALSE))</f>
        <v>13285</v>
      </c>
    </row>
    <row r="160" spans="1:9" x14ac:dyDescent="0.35">
      <c r="A160" s="1">
        <f t="shared" si="38"/>
        <v>2019</v>
      </c>
      <c r="B160" s="1" t="str">
        <f t="shared" si="39"/>
        <v>OUT</v>
      </c>
      <c r="C160" s="2">
        <v>43740</v>
      </c>
      <c r="D160" t="s">
        <v>20</v>
      </c>
      <c r="E160" t="s">
        <v>45</v>
      </c>
      <c r="F160" t="s">
        <v>14</v>
      </c>
      <c r="G160" t="s">
        <v>30</v>
      </c>
      <c r="H160" s="7">
        <v>2557</v>
      </c>
      <c r="I160" s="3">
        <f>SUM(H160*VLOOKUP(G160,Tabela1[],2,FALSE))</f>
        <v>12785</v>
      </c>
    </row>
    <row r="161" spans="1:9" x14ac:dyDescent="0.35">
      <c r="A161" s="1">
        <f t="shared" si="38"/>
        <v>2019</v>
      </c>
      <c r="B161" s="1" t="str">
        <f t="shared" si="39"/>
        <v>FEV</v>
      </c>
      <c r="C161" s="2">
        <v>43499</v>
      </c>
      <c r="D161" t="s">
        <v>21</v>
      </c>
      <c r="E161" t="s">
        <v>47</v>
      </c>
      <c r="F161" t="s">
        <v>9</v>
      </c>
      <c r="G161" t="s">
        <v>27</v>
      </c>
      <c r="H161" s="7">
        <v>4534</v>
      </c>
      <c r="I161" s="3">
        <f>SUM(H161*VLOOKUP(G161,Tabela1[],2,FALSE))</f>
        <v>226700</v>
      </c>
    </row>
    <row r="162" spans="1:9" x14ac:dyDescent="0.35">
      <c r="A162" s="1">
        <f t="shared" si="38"/>
        <v>2019</v>
      </c>
      <c r="B162" s="1" t="str">
        <f t="shared" si="39"/>
        <v>NOV</v>
      </c>
      <c r="C162" s="2">
        <v>43790</v>
      </c>
      <c r="D162" t="s">
        <v>22</v>
      </c>
      <c r="E162" t="s">
        <v>25</v>
      </c>
      <c r="F162" t="s">
        <v>10</v>
      </c>
      <c r="G162" t="s">
        <v>29</v>
      </c>
      <c r="H162" s="7">
        <v>3342</v>
      </c>
      <c r="I162" s="3">
        <f>SUM(H162*VLOOKUP(G162,Tabela1[],2,FALSE))</f>
        <v>200520</v>
      </c>
    </row>
    <row r="163" spans="1:9" x14ac:dyDescent="0.35">
      <c r="A163" s="1">
        <f t="shared" si="38"/>
        <v>2019</v>
      </c>
      <c r="B163" s="1" t="str">
        <f t="shared" si="39"/>
        <v>JAN</v>
      </c>
      <c r="C163" s="2">
        <v>43485</v>
      </c>
      <c r="D163" t="s">
        <v>20</v>
      </c>
      <c r="E163" t="s">
        <v>26</v>
      </c>
      <c r="F163" t="s">
        <v>11</v>
      </c>
      <c r="G163" t="s">
        <v>29</v>
      </c>
      <c r="H163" s="7">
        <v>4093</v>
      </c>
      <c r="I163" s="3">
        <f>SUM(H163*VLOOKUP(G163,Tabela1[],2,FALSE))</f>
        <v>245580</v>
      </c>
    </row>
    <row r="164" spans="1:9" x14ac:dyDescent="0.35">
      <c r="A164" s="1">
        <f t="shared" si="38"/>
        <v>2019</v>
      </c>
      <c r="B164" s="1" t="str">
        <f t="shared" si="39"/>
        <v>AGO</v>
      </c>
      <c r="C164" s="2">
        <v>43701</v>
      </c>
      <c r="D164" t="s">
        <v>20</v>
      </c>
      <c r="E164" t="s">
        <v>50</v>
      </c>
      <c r="F164" t="s">
        <v>14</v>
      </c>
      <c r="G164" t="s">
        <v>30</v>
      </c>
      <c r="H164" s="7">
        <v>1094</v>
      </c>
      <c r="I164" s="3">
        <f>SUM(H164*VLOOKUP(G164,Tabela1[],2,FALSE))</f>
        <v>5470</v>
      </c>
    </row>
    <row r="165" spans="1:9" x14ac:dyDescent="0.35">
      <c r="A165" s="1">
        <f t="shared" si="38"/>
        <v>2019</v>
      </c>
      <c r="B165" s="1" t="str">
        <f t="shared" si="39"/>
        <v>NOV</v>
      </c>
      <c r="C165" s="2">
        <v>43793</v>
      </c>
      <c r="D165" t="s">
        <v>20</v>
      </c>
      <c r="E165" t="s">
        <v>46</v>
      </c>
      <c r="F165" t="s">
        <v>10</v>
      </c>
      <c r="G165" t="s">
        <v>27</v>
      </c>
      <c r="H165" s="7">
        <v>4107</v>
      </c>
      <c r="I165" s="3">
        <f>SUM(H165*VLOOKUP(G165,Tabela1[],2,FALSE))</f>
        <v>205350</v>
      </c>
    </row>
    <row r="166" spans="1:9" s="14" customFormat="1" x14ac:dyDescent="0.35">
      <c r="A166" s="12">
        <f t="shared" si="38"/>
        <v>2019</v>
      </c>
      <c r="B166" s="12" t="str">
        <f t="shared" si="39"/>
        <v>SET</v>
      </c>
      <c r="C166" s="24">
        <v>43725</v>
      </c>
      <c r="D166" s="14" t="s">
        <v>20</v>
      </c>
      <c r="E166" t="s">
        <v>45</v>
      </c>
      <c r="F166" s="14" t="s">
        <v>10</v>
      </c>
      <c r="G166" s="14" t="s">
        <v>27</v>
      </c>
      <c r="H166" s="15">
        <v>1623</v>
      </c>
      <c r="I166" s="16">
        <f>SUM(H166*VLOOKUP(G166,Tabela1[],2,FALSE))</f>
        <v>81150</v>
      </c>
    </row>
    <row r="167" spans="1:9" s="14" customFormat="1" x14ac:dyDescent="0.35">
      <c r="A167" s="12">
        <f t="shared" si="38"/>
        <v>2019</v>
      </c>
      <c r="B167" s="12" t="str">
        <f t="shared" si="39"/>
        <v>OUT</v>
      </c>
      <c r="C167" s="24">
        <v>43762</v>
      </c>
      <c r="D167" s="14" t="s">
        <v>21</v>
      </c>
      <c r="E167" t="s">
        <v>26</v>
      </c>
      <c r="F167" s="14" t="s">
        <v>11</v>
      </c>
      <c r="G167" s="14" t="s">
        <v>27</v>
      </c>
      <c r="H167" s="15">
        <v>523</v>
      </c>
      <c r="I167" s="16">
        <f>SUM(H167*VLOOKUP(G167,Tabela1[],2,FALSE))</f>
        <v>26150</v>
      </c>
    </row>
    <row r="168" spans="1:9" s="14" customFormat="1" x14ac:dyDescent="0.35">
      <c r="A168" s="12">
        <f t="shared" si="38"/>
        <v>2019</v>
      </c>
      <c r="B168" s="12" t="str">
        <f t="shared" si="39"/>
        <v>FEV</v>
      </c>
      <c r="C168" s="24">
        <v>43507</v>
      </c>
      <c r="D168" s="14" t="s">
        <v>21</v>
      </c>
      <c r="E168" t="s">
        <v>48</v>
      </c>
      <c r="F168" s="14" t="s">
        <v>9</v>
      </c>
      <c r="G168" s="14" t="s">
        <v>28</v>
      </c>
      <c r="H168" s="15">
        <v>3803</v>
      </c>
      <c r="I168" s="16">
        <f>SUM(H168*VLOOKUP(G168,Tabela1[],2,FALSE))</f>
        <v>190150</v>
      </c>
    </row>
    <row r="169" spans="1:9" s="14" customFormat="1" x14ac:dyDescent="0.35">
      <c r="A169" s="12">
        <f t="shared" si="38"/>
        <v>2019</v>
      </c>
      <c r="B169" s="12" t="str">
        <f t="shared" si="39"/>
        <v>JUN</v>
      </c>
      <c r="C169" s="24">
        <v>43620</v>
      </c>
      <c r="D169" s="14" t="s">
        <v>22</v>
      </c>
      <c r="E169" t="s">
        <v>48</v>
      </c>
      <c r="F169" s="14" t="s">
        <v>9</v>
      </c>
      <c r="G169" s="14" t="s">
        <v>31</v>
      </c>
      <c r="H169" s="15">
        <v>1662</v>
      </c>
      <c r="I169" s="16">
        <f>SUM(H169*VLOOKUP(G169,Tabela1[],2,FALSE))</f>
        <v>83100</v>
      </c>
    </row>
    <row r="170" spans="1:9" s="14" customFormat="1" x14ac:dyDescent="0.35">
      <c r="A170" s="12">
        <f t="shared" ref="A170:A175" si="40">YEAR(C170)</f>
        <v>2019</v>
      </c>
      <c r="B170" s="12" t="str">
        <f t="shared" ref="B170:B175" si="41">UPPER(TEXT(C170,"mmm"))</f>
        <v>JUL</v>
      </c>
      <c r="C170" s="24">
        <v>43650</v>
      </c>
      <c r="D170" s="14" t="s">
        <v>21</v>
      </c>
      <c r="E170" t="s">
        <v>48</v>
      </c>
      <c r="F170" s="14" t="s">
        <v>9</v>
      </c>
      <c r="G170" s="14" t="s">
        <v>30</v>
      </c>
      <c r="H170" s="15">
        <v>4711</v>
      </c>
      <c r="I170" s="16">
        <f>SUM(H170*VLOOKUP(G170,Tabela1[],2,FALSE))</f>
        <v>23555</v>
      </c>
    </row>
    <row r="171" spans="1:9" s="14" customFormat="1" x14ac:dyDescent="0.35">
      <c r="A171" s="12">
        <f t="shared" si="40"/>
        <v>2019</v>
      </c>
      <c r="B171" s="12" t="str">
        <f t="shared" si="41"/>
        <v>OUT</v>
      </c>
      <c r="C171" s="24">
        <v>43759</v>
      </c>
      <c r="D171" s="14" t="s">
        <v>21</v>
      </c>
      <c r="E171" t="s">
        <v>50</v>
      </c>
      <c r="F171" s="14" t="s">
        <v>9</v>
      </c>
      <c r="G171" s="14" t="s">
        <v>30</v>
      </c>
      <c r="H171" s="15">
        <v>1355</v>
      </c>
      <c r="I171" s="16">
        <f>SUM(H171*VLOOKUP(G171,Tabela1[],2,FALSE))</f>
        <v>6775</v>
      </c>
    </row>
    <row r="172" spans="1:9" s="14" customFormat="1" x14ac:dyDescent="0.35">
      <c r="A172" s="12">
        <f t="shared" si="40"/>
        <v>2019</v>
      </c>
      <c r="B172" s="12" t="str">
        <f t="shared" si="41"/>
        <v>OUT</v>
      </c>
      <c r="C172" s="24">
        <v>43740</v>
      </c>
      <c r="D172" s="14" t="s">
        <v>21</v>
      </c>
      <c r="E172" t="s">
        <v>48</v>
      </c>
      <c r="F172" s="14" t="s">
        <v>9</v>
      </c>
      <c r="G172" s="14" t="s">
        <v>30</v>
      </c>
      <c r="H172" s="15">
        <v>1479</v>
      </c>
      <c r="I172" s="16">
        <f>SUM(H172*VLOOKUP(G172,Tabela1[],2,FALSE))</f>
        <v>7395</v>
      </c>
    </row>
    <row r="173" spans="1:9" s="14" customFormat="1" x14ac:dyDescent="0.35">
      <c r="A173" s="12">
        <f t="shared" si="40"/>
        <v>2019</v>
      </c>
      <c r="B173" s="12" t="str">
        <f t="shared" si="41"/>
        <v>JUN</v>
      </c>
      <c r="C173" s="24">
        <v>43621</v>
      </c>
      <c r="D173" s="14" t="s">
        <v>21</v>
      </c>
      <c r="E173" t="s">
        <v>46</v>
      </c>
      <c r="F173" s="14" t="s">
        <v>9</v>
      </c>
      <c r="G173" s="14" t="s">
        <v>30</v>
      </c>
      <c r="H173" s="15">
        <v>3765</v>
      </c>
      <c r="I173" s="16">
        <f>SUM(H173*VLOOKUP(G173,Tabela1[],2,FALSE))</f>
        <v>18825</v>
      </c>
    </row>
    <row r="174" spans="1:9" s="14" customFormat="1" x14ac:dyDescent="0.35">
      <c r="A174" s="12">
        <f t="shared" si="40"/>
        <v>2019</v>
      </c>
      <c r="B174" s="12" t="str">
        <f t="shared" si="41"/>
        <v>MAR</v>
      </c>
      <c r="C174" s="24">
        <v>43535</v>
      </c>
      <c r="D174" s="14" t="s">
        <v>21</v>
      </c>
      <c r="E174" t="s">
        <v>23</v>
      </c>
      <c r="F174" s="14" t="s">
        <v>12</v>
      </c>
      <c r="G174" s="14" t="s">
        <v>30</v>
      </c>
      <c r="H174" s="15">
        <v>2669</v>
      </c>
      <c r="I174" s="16">
        <f>SUM(H174*VLOOKUP(G174,Tabela1[],2,FALSE))</f>
        <v>13345</v>
      </c>
    </row>
    <row r="175" spans="1:9" s="14" customFormat="1" x14ac:dyDescent="0.35">
      <c r="A175" s="12">
        <f t="shared" si="40"/>
        <v>2019</v>
      </c>
      <c r="B175" s="12" t="str">
        <f t="shared" si="41"/>
        <v>DEZ</v>
      </c>
      <c r="C175" s="24">
        <v>43810</v>
      </c>
      <c r="D175" s="14" t="s">
        <v>21</v>
      </c>
      <c r="E175" t="s">
        <v>45</v>
      </c>
      <c r="F175" s="14" t="s">
        <v>9</v>
      </c>
      <c r="G175" s="14" t="s">
        <v>30</v>
      </c>
      <c r="H175" s="15">
        <v>3298</v>
      </c>
      <c r="I175" s="16">
        <f>SUM(H175*VLOOKUP(G175,Tabela1[],2,FALSE))</f>
        <v>16490</v>
      </c>
    </row>
    <row r="176" spans="1:9" s="14" customFormat="1" x14ac:dyDescent="0.35">
      <c r="A176" s="12">
        <f t="shared" ref="A176:A193" si="42">YEAR(C176)</f>
        <v>2019</v>
      </c>
      <c r="B176" s="12" t="str">
        <f t="shared" ref="B176:B193" si="43">UPPER(TEXT(C176,"mmm"))</f>
        <v>AGO</v>
      </c>
      <c r="C176" s="24">
        <v>43706</v>
      </c>
      <c r="D176" s="14" t="s">
        <v>21</v>
      </c>
      <c r="E176" t="s">
        <v>45</v>
      </c>
      <c r="F176" s="14" t="s">
        <v>14</v>
      </c>
      <c r="G176" s="14" t="s">
        <v>28</v>
      </c>
      <c r="H176" s="15">
        <v>1160</v>
      </c>
      <c r="I176" s="16">
        <f>SUM(H176*VLOOKUP(G176,Tabela1[],2,FALSE))</f>
        <v>58000</v>
      </c>
    </row>
    <row r="177" spans="1:9" s="14" customFormat="1" x14ac:dyDescent="0.35">
      <c r="A177" s="12">
        <f t="shared" si="42"/>
        <v>2019</v>
      </c>
      <c r="B177" s="12" t="str">
        <f t="shared" si="43"/>
        <v>FEV</v>
      </c>
      <c r="C177" s="24">
        <v>43501</v>
      </c>
      <c r="D177" s="14" t="s">
        <v>21</v>
      </c>
      <c r="E177" t="s">
        <v>26</v>
      </c>
      <c r="F177" s="14" t="s">
        <v>10</v>
      </c>
      <c r="G177" s="14" t="s">
        <v>31</v>
      </c>
      <c r="H177" s="15">
        <v>2500</v>
      </c>
      <c r="I177" s="16">
        <f>SUM(H177*VLOOKUP(G177,Tabela1[],2,FALSE))</f>
        <v>125000</v>
      </c>
    </row>
    <row r="178" spans="1:9" s="14" customFormat="1" x14ac:dyDescent="0.35">
      <c r="A178" s="12">
        <f t="shared" si="42"/>
        <v>2019</v>
      </c>
      <c r="B178" s="12" t="str">
        <f t="shared" si="43"/>
        <v>MAR</v>
      </c>
      <c r="C178" s="24">
        <v>43525</v>
      </c>
      <c r="D178" s="14" t="s">
        <v>22</v>
      </c>
      <c r="E178" t="s">
        <v>45</v>
      </c>
      <c r="F178" s="14" t="s">
        <v>10</v>
      </c>
      <c r="G178" s="14" t="s">
        <v>31</v>
      </c>
      <c r="H178" s="15">
        <v>1200</v>
      </c>
      <c r="I178" s="16">
        <f>SUM(H178*VLOOKUP(G178,Tabela1[],2,FALSE))</f>
        <v>60000</v>
      </c>
    </row>
    <row r="179" spans="1:9" s="14" customFormat="1" x14ac:dyDescent="0.35">
      <c r="A179" s="12">
        <f t="shared" si="42"/>
        <v>2019</v>
      </c>
      <c r="B179" s="12" t="str">
        <f t="shared" si="43"/>
        <v>MAI</v>
      </c>
      <c r="C179" s="24">
        <v>43589</v>
      </c>
      <c r="D179" s="14" t="s">
        <v>22</v>
      </c>
      <c r="E179" t="s">
        <v>26</v>
      </c>
      <c r="F179" s="14" t="s">
        <v>11</v>
      </c>
      <c r="G179" s="14" t="s">
        <v>28</v>
      </c>
      <c r="H179" s="15">
        <v>3776</v>
      </c>
      <c r="I179" s="16">
        <f>SUM(H179*VLOOKUP(G179,Tabela1[],2,FALSE))</f>
        <v>188800</v>
      </c>
    </row>
    <row r="180" spans="1:9" s="14" customFormat="1" x14ac:dyDescent="0.35">
      <c r="A180" s="12">
        <f t="shared" si="42"/>
        <v>2019</v>
      </c>
      <c r="B180" s="12" t="str">
        <f t="shared" si="43"/>
        <v>MAI</v>
      </c>
      <c r="C180" s="24">
        <v>43588</v>
      </c>
      <c r="D180" s="14" t="s">
        <v>22</v>
      </c>
      <c r="E180" t="s">
        <v>46</v>
      </c>
      <c r="F180" s="14" t="s">
        <v>9</v>
      </c>
      <c r="G180" s="14" t="s">
        <v>27</v>
      </c>
      <c r="H180" s="15">
        <v>4754</v>
      </c>
      <c r="I180" s="16">
        <f>SUM(H180*VLOOKUP(G180,Tabela1[],2,FALSE))</f>
        <v>237700</v>
      </c>
    </row>
    <row r="181" spans="1:9" s="14" customFormat="1" x14ac:dyDescent="0.35">
      <c r="A181" s="12">
        <f t="shared" si="42"/>
        <v>2019</v>
      </c>
      <c r="B181" s="12" t="str">
        <f t="shared" si="43"/>
        <v>MAI</v>
      </c>
      <c r="C181" s="24">
        <v>43609</v>
      </c>
      <c r="D181" s="14" t="s">
        <v>22</v>
      </c>
      <c r="E181" t="s">
        <v>23</v>
      </c>
      <c r="F181" s="14" t="s">
        <v>9</v>
      </c>
      <c r="G181" s="14" t="s">
        <v>28</v>
      </c>
      <c r="H181" s="15">
        <v>4047</v>
      </c>
      <c r="I181" s="16">
        <f>SUM(H181*VLOOKUP(G181,Tabela1[],2,FALSE))</f>
        <v>202350</v>
      </c>
    </row>
    <row r="182" spans="1:9" s="14" customFormat="1" x14ac:dyDescent="0.35">
      <c r="A182" s="12">
        <f t="shared" si="42"/>
        <v>2019</v>
      </c>
      <c r="B182" s="12" t="str">
        <f t="shared" si="43"/>
        <v>DEZ</v>
      </c>
      <c r="C182" s="24">
        <v>43803</v>
      </c>
      <c r="D182" s="14" t="s">
        <v>22</v>
      </c>
      <c r="E182" t="s">
        <v>24</v>
      </c>
      <c r="F182" s="14" t="s">
        <v>12</v>
      </c>
      <c r="G182" t="s">
        <v>30</v>
      </c>
      <c r="H182" s="15">
        <v>3304</v>
      </c>
      <c r="I182" s="16">
        <f>SUM(H182*VLOOKUP(G182,Tabela1[],2,FALSE))</f>
        <v>16520</v>
      </c>
    </row>
    <row r="183" spans="1:9" s="14" customFormat="1" x14ac:dyDescent="0.35">
      <c r="A183" s="12">
        <f t="shared" si="42"/>
        <v>2019</v>
      </c>
      <c r="B183" s="12" t="str">
        <f t="shared" si="43"/>
        <v>JAN</v>
      </c>
      <c r="C183" s="24">
        <v>43469</v>
      </c>
      <c r="D183" s="14" t="s">
        <v>22</v>
      </c>
      <c r="E183" t="s">
        <v>49</v>
      </c>
      <c r="F183" s="14" t="s">
        <v>12</v>
      </c>
      <c r="G183" t="s">
        <v>30</v>
      </c>
      <c r="H183" s="15">
        <v>3276</v>
      </c>
      <c r="I183" s="16">
        <f>SUM(H183*VLOOKUP(G183,Tabela1[],2,FALSE))</f>
        <v>16380</v>
      </c>
    </row>
    <row r="184" spans="1:9" s="14" customFormat="1" x14ac:dyDescent="0.35">
      <c r="A184" s="12">
        <f t="shared" si="42"/>
        <v>2019</v>
      </c>
      <c r="B184" s="12" t="str">
        <f t="shared" si="43"/>
        <v>MAI</v>
      </c>
      <c r="C184" s="24">
        <v>43615</v>
      </c>
      <c r="D184" s="14" t="s">
        <v>20</v>
      </c>
      <c r="E184" t="s">
        <v>47</v>
      </c>
      <c r="F184" s="14" t="s">
        <v>14</v>
      </c>
      <c r="G184" t="s">
        <v>30</v>
      </c>
      <c r="H184" s="15">
        <v>1696</v>
      </c>
      <c r="I184" s="16">
        <f>SUM(H184*VLOOKUP(G184,Tabela1[],2,FALSE))</f>
        <v>8480</v>
      </c>
    </row>
    <row r="185" spans="1:9" s="14" customFormat="1" x14ac:dyDescent="0.35">
      <c r="A185" s="12">
        <f t="shared" si="42"/>
        <v>2019</v>
      </c>
      <c r="B185" s="12" t="str">
        <f t="shared" si="43"/>
        <v>AGO</v>
      </c>
      <c r="C185" s="24">
        <v>43691</v>
      </c>
      <c r="D185" s="14" t="s">
        <v>21</v>
      </c>
      <c r="E185" t="s">
        <v>24</v>
      </c>
      <c r="F185" s="14" t="s">
        <v>9</v>
      </c>
      <c r="G185" s="14" t="s">
        <v>27</v>
      </c>
      <c r="H185" s="15">
        <v>1594</v>
      </c>
      <c r="I185" s="16">
        <f>SUM(H185*VLOOKUP(G185,Tabela1[],2,FALSE))</f>
        <v>79700</v>
      </c>
    </row>
    <row r="186" spans="1:9" s="14" customFormat="1" x14ac:dyDescent="0.35">
      <c r="A186" s="12">
        <f t="shared" si="42"/>
        <v>2019</v>
      </c>
      <c r="B186" s="12" t="str">
        <f t="shared" si="43"/>
        <v>OUT</v>
      </c>
      <c r="C186" s="24">
        <v>43761</v>
      </c>
      <c r="D186" s="14" t="s">
        <v>22</v>
      </c>
      <c r="E186" t="s">
        <v>24</v>
      </c>
      <c r="F186" s="14" t="s">
        <v>10</v>
      </c>
      <c r="G186" s="14" t="s">
        <v>29</v>
      </c>
      <c r="H186" s="15">
        <v>2283</v>
      </c>
      <c r="I186" s="16">
        <f>SUM(H186*VLOOKUP(G186,Tabela1[],2,FALSE))</f>
        <v>136980</v>
      </c>
    </row>
    <row r="187" spans="1:9" s="14" customFormat="1" x14ac:dyDescent="0.35">
      <c r="A187" s="12">
        <f t="shared" si="42"/>
        <v>2019</v>
      </c>
      <c r="B187" s="12" t="str">
        <f t="shared" si="43"/>
        <v>DEZ</v>
      </c>
      <c r="C187" s="24">
        <v>43804</v>
      </c>
      <c r="D187" s="14" t="s">
        <v>20</v>
      </c>
      <c r="E187" t="s">
        <v>25</v>
      </c>
      <c r="F187" s="14" t="s">
        <v>11</v>
      </c>
      <c r="G187" s="14" t="s">
        <v>29</v>
      </c>
      <c r="H187" s="15">
        <v>1462</v>
      </c>
      <c r="I187" s="16">
        <f>SUM(H187*VLOOKUP(G187,Tabela1[],2,FALSE))</f>
        <v>87720</v>
      </c>
    </row>
    <row r="188" spans="1:9" s="14" customFormat="1" x14ac:dyDescent="0.35">
      <c r="A188" s="12">
        <f t="shared" si="42"/>
        <v>2019</v>
      </c>
      <c r="B188" s="12" t="str">
        <f t="shared" si="43"/>
        <v>OUT</v>
      </c>
      <c r="C188" s="24">
        <v>43748</v>
      </c>
      <c r="D188" s="14" t="s">
        <v>20</v>
      </c>
      <c r="E188" t="s">
        <v>49</v>
      </c>
      <c r="F188" s="14" t="s">
        <v>14</v>
      </c>
      <c r="G188" t="s">
        <v>30</v>
      </c>
      <c r="H188" s="15">
        <v>4622</v>
      </c>
      <c r="I188" s="16">
        <f>SUM(H188*VLOOKUP(G188,Tabela1[],2,FALSE))</f>
        <v>23110</v>
      </c>
    </row>
    <row r="189" spans="1:9" s="14" customFormat="1" x14ac:dyDescent="0.35">
      <c r="A189" s="12">
        <f t="shared" si="42"/>
        <v>2019</v>
      </c>
      <c r="B189" s="12" t="str">
        <f t="shared" si="43"/>
        <v>MAI</v>
      </c>
      <c r="C189" s="24">
        <v>43606</v>
      </c>
      <c r="D189" s="14" t="s">
        <v>20</v>
      </c>
      <c r="E189" t="s">
        <v>23</v>
      </c>
      <c r="F189" s="14" t="s">
        <v>10</v>
      </c>
      <c r="G189" s="14" t="s">
        <v>27</v>
      </c>
      <c r="H189" s="15">
        <v>3764</v>
      </c>
      <c r="I189" s="16">
        <f>SUM(H189*VLOOKUP(G189,Tabela1[],2,FALSE))</f>
        <v>188200</v>
      </c>
    </row>
    <row r="190" spans="1:9" s="14" customFormat="1" x14ac:dyDescent="0.35">
      <c r="A190" s="12">
        <f t="shared" si="42"/>
        <v>2019</v>
      </c>
      <c r="B190" s="12" t="str">
        <f t="shared" si="43"/>
        <v>MAR</v>
      </c>
      <c r="C190" s="24">
        <v>43545</v>
      </c>
      <c r="D190" s="14" t="s">
        <v>20</v>
      </c>
      <c r="E190" t="s">
        <v>48</v>
      </c>
      <c r="F190" s="14" t="s">
        <v>10</v>
      </c>
      <c r="G190" s="14" t="s">
        <v>27</v>
      </c>
      <c r="H190" s="15">
        <v>3543</v>
      </c>
      <c r="I190" s="16">
        <f>SUM(H190*VLOOKUP(G190,Tabela1[],2,FALSE))</f>
        <v>177150</v>
      </c>
    </row>
    <row r="191" spans="1:9" s="14" customFormat="1" x14ac:dyDescent="0.35">
      <c r="A191" s="12">
        <f t="shared" si="42"/>
        <v>2019</v>
      </c>
      <c r="B191" s="12" t="str">
        <f t="shared" si="43"/>
        <v>JUL</v>
      </c>
      <c r="C191" s="24">
        <v>43662</v>
      </c>
      <c r="D191" s="14" t="s">
        <v>21</v>
      </c>
      <c r="E191" t="s">
        <v>48</v>
      </c>
      <c r="F191" s="14" t="s">
        <v>11</v>
      </c>
      <c r="G191" s="14" t="s">
        <v>27</v>
      </c>
      <c r="H191" s="15">
        <v>4876</v>
      </c>
      <c r="I191" s="16">
        <f>SUM(H191*VLOOKUP(G191,Tabela1[],2,FALSE))</f>
        <v>243800</v>
      </c>
    </row>
    <row r="192" spans="1:9" s="14" customFormat="1" x14ac:dyDescent="0.35">
      <c r="A192" s="12">
        <f t="shared" si="42"/>
        <v>2019</v>
      </c>
      <c r="B192" s="12" t="str">
        <f t="shared" si="43"/>
        <v>DEZ</v>
      </c>
      <c r="C192" s="24">
        <v>43816</v>
      </c>
      <c r="D192" s="14" t="s">
        <v>21</v>
      </c>
      <c r="E192" t="s">
        <v>47</v>
      </c>
      <c r="F192" s="14" t="s">
        <v>9</v>
      </c>
      <c r="G192" s="14" t="s">
        <v>28</v>
      </c>
      <c r="H192" s="15">
        <v>3678</v>
      </c>
      <c r="I192" s="16">
        <f>SUM(H192*VLOOKUP(G192,Tabela1[],2,FALSE))</f>
        <v>183900</v>
      </c>
    </row>
    <row r="193" spans="1:9" s="14" customFormat="1" x14ac:dyDescent="0.35">
      <c r="A193" s="12">
        <f t="shared" si="42"/>
        <v>2019</v>
      </c>
      <c r="B193" s="12" t="str">
        <f t="shared" si="43"/>
        <v>SET</v>
      </c>
      <c r="C193" s="24">
        <v>43711</v>
      </c>
      <c r="D193" s="14" t="s">
        <v>22</v>
      </c>
      <c r="E193" t="s">
        <v>48</v>
      </c>
      <c r="F193" s="14" t="s">
        <v>9</v>
      </c>
      <c r="G193" t="s">
        <v>30</v>
      </c>
      <c r="H193" s="15">
        <v>3569</v>
      </c>
      <c r="I193" s="16">
        <f>SUM(H193*VLOOKUP(G193,Tabela1[],2,FALSE))</f>
        <v>17845</v>
      </c>
    </row>
    <row r="194" spans="1:9" s="14" customFormat="1" x14ac:dyDescent="0.35">
      <c r="A194" s="12">
        <f t="shared" ref="A194:A225" si="44">YEAR(C194)</f>
        <v>2019</v>
      </c>
      <c r="B194" s="12" t="str">
        <f t="shared" ref="B194:B225" si="45">UPPER(TEXT(C194,"mmm"))</f>
        <v>DEZ</v>
      </c>
      <c r="C194" s="24">
        <v>43828</v>
      </c>
      <c r="D194" s="14" t="s">
        <v>21</v>
      </c>
      <c r="E194" t="s">
        <v>49</v>
      </c>
      <c r="F194" s="14" t="s">
        <v>9</v>
      </c>
      <c r="G194" s="14" t="s">
        <v>30</v>
      </c>
      <c r="H194" s="15">
        <v>4054</v>
      </c>
      <c r="I194" s="16">
        <f>SUM(H194*VLOOKUP(G194,Tabela1[],2,FALSE))</f>
        <v>20270</v>
      </c>
    </row>
    <row r="195" spans="1:9" s="14" customFormat="1" x14ac:dyDescent="0.35">
      <c r="A195" s="12">
        <f t="shared" si="44"/>
        <v>2019</v>
      </c>
      <c r="B195" s="12" t="str">
        <f t="shared" si="45"/>
        <v>ABR</v>
      </c>
      <c r="C195" s="24">
        <v>43566</v>
      </c>
      <c r="D195" s="14" t="s">
        <v>21</v>
      </c>
      <c r="E195" t="s">
        <v>46</v>
      </c>
      <c r="F195" s="14" t="s">
        <v>9</v>
      </c>
      <c r="G195" s="14" t="s">
        <v>30</v>
      </c>
      <c r="H195" s="15">
        <v>1115</v>
      </c>
      <c r="I195" s="16">
        <f>SUM(H195*VLOOKUP(G195,Tabela1[],2,FALSE))</f>
        <v>5575</v>
      </c>
    </row>
    <row r="196" spans="1:9" s="14" customFormat="1" x14ac:dyDescent="0.35">
      <c r="A196" s="12">
        <f t="shared" si="44"/>
        <v>2019</v>
      </c>
      <c r="B196" s="12" t="str">
        <f t="shared" si="45"/>
        <v>JUL</v>
      </c>
      <c r="C196" s="24">
        <v>43652</v>
      </c>
      <c r="D196" s="14" t="s">
        <v>21</v>
      </c>
      <c r="E196" t="s">
        <v>24</v>
      </c>
      <c r="F196" s="14" t="s">
        <v>9</v>
      </c>
      <c r="G196" s="14" t="s">
        <v>30</v>
      </c>
      <c r="H196" s="15">
        <v>3009</v>
      </c>
      <c r="I196" s="16">
        <f>SUM(H196*VLOOKUP(G196,Tabela1[],2,FALSE))</f>
        <v>15045</v>
      </c>
    </row>
    <row r="197" spans="1:9" s="14" customFormat="1" x14ac:dyDescent="0.35">
      <c r="A197" s="12">
        <f t="shared" si="44"/>
        <v>2019</v>
      </c>
      <c r="B197" s="12" t="str">
        <f t="shared" si="45"/>
        <v>OUT</v>
      </c>
      <c r="C197" s="24">
        <v>43757</v>
      </c>
      <c r="D197" t="s">
        <v>20</v>
      </c>
      <c r="E197" t="s">
        <v>48</v>
      </c>
      <c r="F197" s="14" t="s">
        <v>9</v>
      </c>
      <c r="G197" t="s">
        <v>29</v>
      </c>
      <c r="H197" s="15">
        <v>4270</v>
      </c>
      <c r="I197" s="16">
        <f>SUM(H197*VLOOKUP(G197,Tabela1[],2,FALSE))</f>
        <v>256200</v>
      </c>
    </row>
    <row r="198" spans="1:9" s="14" customFormat="1" x14ac:dyDescent="0.35">
      <c r="A198" s="12">
        <f t="shared" si="44"/>
        <v>2019</v>
      </c>
      <c r="B198" s="12" t="str">
        <f t="shared" si="45"/>
        <v>MAR</v>
      </c>
      <c r="C198" s="24">
        <v>43536</v>
      </c>
      <c r="D198" t="s">
        <v>21</v>
      </c>
      <c r="E198" t="s">
        <v>26</v>
      </c>
      <c r="F198" s="14" t="s">
        <v>12</v>
      </c>
      <c r="G198" t="s">
        <v>29</v>
      </c>
      <c r="H198" s="15">
        <v>3578</v>
      </c>
      <c r="I198" s="16">
        <f>SUM(H198*VLOOKUP(G198,Tabela1[],2,FALSE))</f>
        <v>214680</v>
      </c>
    </row>
    <row r="199" spans="1:9" s="14" customFormat="1" x14ac:dyDescent="0.35">
      <c r="A199" s="12">
        <f t="shared" si="44"/>
        <v>2019</v>
      </c>
      <c r="B199" s="12" t="str">
        <f t="shared" si="45"/>
        <v>MAR</v>
      </c>
      <c r="C199" s="24">
        <v>43526</v>
      </c>
      <c r="D199" t="s">
        <v>22</v>
      </c>
      <c r="E199" t="s">
        <v>50</v>
      </c>
      <c r="F199" s="14" t="s">
        <v>9</v>
      </c>
      <c r="G199" t="s">
        <v>30</v>
      </c>
      <c r="H199" s="15">
        <v>1488</v>
      </c>
      <c r="I199" s="16">
        <f>SUM(H199*VLOOKUP(G199,Tabela1[],2,FALSE))</f>
        <v>7440</v>
      </c>
    </row>
    <row r="200" spans="1:9" s="14" customFormat="1" x14ac:dyDescent="0.35">
      <c r="A200" s="12">
        <f t="shared" si="44"/>
        <v>2020</v>
      </c>
      <c r="B200" s="12" t="str">
        <f t="shared" si="45"/>
        <v>JUL</v>
      </c>
      <c r="C200" s="13">
        <v>44021</v>
      </c>
      <c r="D200" t="s">
        <v>20</v>
      </c>
      <c r="E200" t="s">
        <v>47</v>
      </c>
      <c r="F200" s="14" t="s">
        <v>9</v>
      </c>
      <c r="G200" t="s">
        <v>28</v>
      </c>
      <c r="H200" s="15">
        <v>2318</v>
      </c>
      <c r="I200" s="16">
        <f>SUM(H200*VLOOKUP(G200,Tabela1[],2,FALSE))</f>
        <v>115900</v>
      </c>
    </row>
    <row r="201" spans="1:9" s="14" customFormat="1" x14ac:dyDescent="0.35">
      <c r="A201" s="12">
        <f t="shared" si="44"/>
        <v>2020</v>
      </c>
      <c r="B201" s="12" t="str">
        <f t="shared" si="45"/>
        <v>JUL</v>
      </c>
      <c r="C201" s="13">
        <v>44015</v>
      </c>
      <c r="D201" t="s">
        <v>20</v>
      </c>
      <c r="E201" t="s">
        <v>47</v>
      </c>
      <c r="F201" s="14" t="s">
        <v>9</v>
      </c>
      <c r="G201" t="s">
        <v>30</v>
      </c>
      <c r="H201" s="15">
        <v>3356</v>
      </c>
      <c r="I201" s="16">
        <f>SUM(H201*VLOOKUP(G201,Tabela1[],2,FALSE))</f>
        <v>16780</v>
      </c>
    </row>
    <row r="202" spans="1:9" s="14" customFormat="1" x14ac:dyDescent="0.35">
      <c r="A202" s="17">
        <f t="shared" si="44"/>
        <v>2020</v>
      </c>
      <c r="B202" s="18" t="str">
        <f t="shared" si="45"/>
        <v>JAN</v>
      </c>
      <c r="C202" s="13">
        <v>43848</v>
      </c>
      <c r="D202" t="s">
        <v>20</v>
      </c>
      <c r="E202" t="s">
        <v>46</v>
      </c>
      <c r="F202" s="19" t="s">
        <v>9</v>
      </c>
      <c r="G202" t="s">
        <v>27</v>
      </c>
      <c r="H202" s="15">
        <v>2886</v>
      </c>
      <c r="I202" s="20">
        <f>SUM(H202*VLOOKUP(G202,Tabela1[],2,FALSE))</f>
        <v>144300</v>
      </c>
    </row>
    <row r="203" spans="1:9" s="14" customFormat="1" x14ac:dyDescent="0.35">
      <c r="A203" s="17">
        <f t="shared" si="44"/>
        <v>2020</v>
      </c>
      <c r="B203" s="18" t="str">
        <f t="shared" si="45"/>
        <v>DEZ</v>
      </c>
      <c r="C203" s="13">
        <v>44192</v>
      </c>
      <c r="D203" t="s">
        <v>20</v>
      </c>
      <c r="E203" t="s">
        <v>48</v>
      </c>
      <c r="F203" s="19" t="s">
        <v>9</v>
      </c>
      <c r="G203" t="s">
        <v>29</v>
      </c>
      <c r="H203" s="15">
        <v>4944</v>
      </c>
      <c r="I203" s="20">
        <f>SUM(H203*VLOOKUP(G203,Tabela1[],2,FALSE))</f>
        <v>296640</v>
      </c>
    </row>
    <row r="204" spans="1:9" s="14" customFormat="1" x14ac:dyDescent="0.35">
      <c r="A204" s="12">
        <f t="shared" si="44"/>
        <v>2020</v>
      </c>
      <c r="B204" s="12" t="str">
        <f t="shared" si="45"/>
        <v>FEV</v>
      </c>
      <c r="C204" s="13">
        <v>43877</v>
      </c>
      <c r="D204" t="s">
        <v>21</v>
      </c>
      <c r="E204" t="s">
        <v>23</v>
      </c>
      <c r="F204" s="14" t="s">
        <v>11</v>
      </c>
      <c r="G204" t="s">
        <v>29</v>
      </c>
      <c r="H204" s="15">
        <v>3193</v>
      </c>
      <c r="I204" s="16">
        <f>SUM(H204*VLOOKUP(G204,Tabela1[],2,FALSE))</f>
        <v>191580</v>
      </c>
    </row>
    <row r="205" spans="1:9" s="14" customFormat="1" x14ac:dyDescent="0.35">
      <c r="A205" s="12">
        <f t="shared" si="44"/>
        <v>2020</v>
      </c>
      <c r="B205" s="12" t="str">
        <f t="shared" si="45"/>
        <v>AGO</v>
      </c>
      <c r="C205" s="13">
        <v>44061</v>
      </c>
      <c r="D205" t="s">
        <v>21</v>
      </c>
      <c r="E205" t="s">
        <v>50</v>
      </c>
      <c r="F205" s="14" t="s">
        <v>14</v>
      </c>
      <c r="G205" t="s">
        <v>30</v>
      </c>
      <c r="H205" s="7">
        <v>4489</v>
      </c>
      <c r="I205" s="16">
        <f>SUM(H205*VLOOKUP(G205,Tabela1[],2,FALSE))</f>
        <v>22445</v>
      </c>
    </row>
    <row r="206" spans="1:9" s="14" customFormat="1" x14ac:dyDescent="0.35">
      <c r="A206" s="12">
        <f t="shared" si="44"/>
        <v>2020</v>
      </c>
      <c r="B206" s="12" t="str">
        <f t="shared" si="45"/>
        <v>OUT</v>
      </c>
      <c r="C206" s="13">
        <v>44114</v>
      </c>
      <c r="D206" t="s">
        <v>21</v>
      </c>
      <c r="E206" t="s">
        <v>50</v>
      </c>
      <c r="F206" s="14" t="s">
        <v>10</v>
      </c>
      <c r="G206" t="s">
        <v>27</v>
      </c>
      <c r="H206" s="15">
        <v>3026</v>
      </c>
      <c r="I206" s="16">
        <f>SUM(H206*VLOOKUP(G206,Tabela1[],2,FALSE))</f>
        <v>151300</v>
      </c>
    </row>
    <row r="207" spans="1:9" s="14" customFormat="1" x14ac:dyDescent="0.35">
      <c r="A207" s="17">
        <f t="shared" si="44"/>
        <v>2020</v>
      </c>
      <c r="B207" s="18" t="str">
        <f t="shared" si="45"/>
        <v>JUL</v>
      </c>
      <c r="C207" s="13">
        <v>44041</v>
      </c>
      <c r="D207" t="s">
        <v>21</v>
      </c>
      <c r="E207" t="s">
        <v>50</v>
      </c>
      <c r="F207" s="14" t="s">
        <v>10</v>
      </c>
      <c r="G207" t="s">
        <v>27</v>
      </c>
      <c r="H207" s="15">
        <v>4129</v>
      </c>
      <c r="I207" s="20">
        <f>SUM(H207*VLOOKUP(G207,Tabela1[],2,FALSE))</f>
        <v>206450</v>
      </c>
    </row>
    <row r="208" spans="1:9" s="14" customFormat="1" x14ac:dyDescent="0.35">
      <c r="A208" s="17">
        <f t="shared" si="44"/>
        <v>2020</v>
      </c>
      <c r="B208" s="18" t="str">
        <f t="shared" si="45"/>
        <v>OUT</v>
      </c>
      <c r="C208" s="13">
        <v>44110</v>
      </c>
      <c r="D208" t="s">
        <v>21</v>
      </c>
      <c r="E208" t="s">
        <v>48</v>
      </c>
      <c r="F208" s="14" t="s">
        <v>11</v>
      </c>
      <c r="G208" t="s">
        <v>27</v>
      </c>
      <c r="H208" s="15">
        <v>706</v>
      </c>
      <c r="I208" s="20">
        <f>SUM(H208*VLOOKUP(G208,Tabela1[],2,FALSE))</f>
        <v>35300</v>
      </c>
    </row>
    <row r="209" spans="1:9" s="14" customFormat="1" x14ac:dyDescent="0.35">
      <c r="A209" s="12">
        <f t="shared" si="44"/>
        <v>2020</v>
      </c>
      <c r="B209" s="12" t="str">
        <f t="shared" si="45"/>
        <v>DEZ</v>
      </c>
      <c r="C209" s="13">
        <v>44183</v>
      </c>
      <c r="D209" t="s">
        <v>21</v>
      </c>
      <c r="E209" t="s">
        <v>24</v>
      </c>
      <c r="F209" s="14" t="s">
        <v>9</v>
      </c>
      <c r="G209" t="s">
        <v>28</v>
      </c>
      <c r="H209" s="15">
        <v>4458</v>
      </c>
      <c r="I209" s="16">
        <f>SUM(H209*VLOOKUP(G209,Tabela1[],2,FALSE))</f>
        <v>222900</v>
      </c>
    </row>
    <row r="210" spans="1:9" s="14" customFormat="1" x14ac:dyDescent="0.35">
      <c r="A210" s="12">
        <f t="shared" si="44"/>
        <v>2020</v>
      </c>
      <c r="B210" s="12" t="str">
        <f t="shared" si="45"/>
        <v>JUN</v>
      </c>
      <c r="C210" s="13">
        <v>43998</v>
      </c>
      <c r="D210" t="s">
        <v>21</v>
      </c>
      <c r="E210" t="s">
        <v>48</v>
      </c>
      <c r="F210" s="14" t="s">
        <v>9</v>
      </c>
      <c r="G210" t="s">
        <v>30</v>
      </c>
      <c r="H210" s="7">
        <v>4489</v>
      </c>
      <c r="I210" s="16">
        <f>SUM(H210*VLOOKUP(G210,Tabela1[],2,FALSE))</f>
        <v>22445</v>
      </c>
    </row>
    <row r="211" spans="1:9" s="14" customFormat="1" x14ac:dyDescent="0.35">
      <c r="A211" s="12">
        <f t="shared" si="44"/>
        <v>2020</v>
      </c>
      <c r="B211" s="12" t="str">
        <f t="shared" si="45"/>
        <v>JAN</v>
      </c>
      <c r="C211" s="13">
        <v>43836</v>
      </c>
      <c r="D211" t="s">
        <v>22</v>
      </c>
      <c r="E211" t="s">
        <v>26</v>
      </c>
      <c r="F211" s="14" t="s">
        <v>9</v>
      </c>
      <c r="G211" t="s">
        <v>30</v>
      </c>
      <c r="H211" s="15">
        <v>2036</v>
      </c>
      <c r="I211" s="16">
        <f>SUM(H211*VLOOKUP(G211,Tabela1[],2,FALSE))</f>
        <v>10180</v>
      </c>
    </row>
    <row r="212" spans="1:9" s="14" customFormat="1" x14ac:dyDescent="0.35">
      <c r="A212" s="17">
        <f t="shared" si="44"/>
        <v>2020</v>
      </c>
      <c r="B212" s="18" t="str">
        <f t="shared" si="45"/>
        <v>ABR</v>
      </c>
      <c r="C212" s="13">
        <v>43951</v>
      </c>
      <c r="D212" t="s">
        <v>22</v>
      </c>
      <c r="E212" t="s">
        <v>46</v>
      </c>
      <c r="F212" s="19" t="s">
        <v>9</v>
      </c>
      <c r="G212" t="s">
        <v>28</v>
      </c>
      <c r="H212" s="15">
        <v>1178</v>
      </c>
      <c r="I212" s="20">
        <f>SUM(H212*VLOOKUP(G212,Tabela1[],2,FALSE))</f>
        <v>58900</v>
      </c>
    </row>
    <row r="213" spans="1:9" s="14" customFormat="1" x14ac:dyDescent="0.35">
      <c r="A213" s="17">
        <f t="shared" si="44"/>
        <v>2020</v>
      </c>
      <c r="B213" s="18" t="str">
        <f t="shared" si="45"/>
        <v>MAI</v>
      </c>
      <c r="C213" s="13">
        <v>43970</v>
      </c>
      <c r="D213" t="s">
        <v>22</v>
      </c>
      <c r="E213" t="s">
        <v>48</v>
      </c>
      <c r="F213" s="19" t="s">
        <v>9</v>
      </c>
      <c r="G213" t="s">
        <v>27</v>
      </c>
      <c r="H213" s="15">
        <v>2496</v>
      </c>
      <c r="I213" s="20">
        <f>SUM(H213*VLOOKUP(G213,Tabela1[],2,FALSE))</f>
        <v>124800</v>
      </c>
    </row>
    <row r="214" spans="1:9" s="14" customFormat="1" x14ac:dyDescent="0.35">
      <c r="A214" s="12">
        <f t="shared" si="44"/>
        <v>2020</v>
      </c>
      <c r="B214" s="12" t="str">
        <f t="shared" si="45"/>
        <v>NOV</v>
      </c>
      <c r="C214" s="13">
        <v>44146</v>
      </c>
      <c r="D214" t="s">
        <v>22</v>
      </c>
      <c r="E214" t="s">
        <v>47</v>
      </c>
      <c r="F214" s="14" t="s">
        <v>9</v>
      </c>
      <c r="G214" t="s">
        <v>28</v>
      </c>
      <c r="H214" s="15">
        <v>1730</v>
      </c>
      <c r="I214" s="16">
        <f>SUM(H214*VLOOKUP(G214,Tabela1[],2,FALSE))</f>
        <v>86500</v>
      </c>
    </row>
    <row r="215" spans="1:9" s="14" customFormat="1" x14ac:dyDescent="0.35">
      <c r="A215" s="12">
        <f t="shared" si="44"/>
        <v>2020</v>
      </c>
      <c r="B215" s="12" t="str">
        <f t="shared" si="45"/>
        <v>NOV</v>
      </c>
      <c r="C215" s="13">
        <v>44140</v>
      </c>
      <c r="D215" t="s">
        <v>22</v>
      </c>
      <c r="E215" t="s">
        <v>26</v>
      </c>
      <c r="F215" s="14" t="s">
        <v>9</v>
      </c>
      <c r="G215" t="s">
        <v>30</v>
      </c>
      <c r="H215" s="15">
        <v>4027</v>
      </c>
      <c r="I215" s="16">
        <f>SUM(H215*VLOOKUP(G215,Tabela1[],2,FALSE))</f>
        <v>20135</v>
      </c>
    </row>
    <row r="216" spans="1:9" s="14" customFormat="1" x14ac:dyDescent="0.35">
      <c r="A216" s="12">
        <f t="shared" si="44"/>
        <v>2020</v>
      </c>
      <c r="B216" s="12" t="str">
        <f t="shared" si="45"/>
        <v>FEV</v>
      </c>
      <c r="C216" s="13">
        <v>43877</v>
      </c>
      <c r="D216" t="s">
        <v>22</v>
      </c>
      <c r="E216" t="s">
        <v>24</v>
      </c>
      <c r="F216" s="14" t="s">
        <v>11</v>
      </c>
      <c r="G216" t="s">
        <v>30</v>
      </c>
      <c r="H216" s="15">
        <v>3540</v>
      </c>
      <c r="I216" s="16">
        <f>SUM(H216*VLOOKUP(G216,Tabela1[],2,FALSE))</f>
        <v>17700</v>
      </c>
    </row>
    <row r="217" spans="1:9" s="14" customFormat="1" x14ac:dyDescent="0.35">
      <c r="A217" s="17">
        <f t="shared" si="44"/>
        <v>2020</v>
      </c>
      <c r="B217" s="18" t="str">
        <f t="shared" si="45"/>
        <v>JUL</v>
      </c>
      <c r="C217" s="13">
        <v>44015</v>
      </c>
      <c r="D217" t="s">
        <v>20</v>
      </c>
      <c r="E217" t="s">
        <v>46</v>
      </c>
      <c r="F217" s="14" t="s">
        <v>14</v>
      </c>
      <c r="G217" t="s">
        <v>31</v>
      </c>
      <c r="H217" s="15">
        <v>2400</v>
      </c>
      <c r="I217" s="20">
        <f>SUM(H217*VLOOKUP(G217,Tabela1[],2,FALSE))</f>
        <v>120000</v>
      </c>
    </row>
    <row r="218" spans="1:9" s="14" customFormat="1" x14ac:dyDescent="0.35">
      <c r="A218" s="17">
        <f t="shared" si="44"/>
        <v>2020</v>
      </c>
      <c r="B218" s="18" t="str">
        <f t="shared" si="45"/>
        <v>SET</v>
      </c>
      <c r="C218" s="13">
        <v>44090</v>
      </c>
      <c r="D218" t="s">
        <v>21</v>
      </c>
      <c r="E218" t="s">
        <v>48</v>
      </c>
      <c r="F218" s="14" t="s">
        <v>10</v>
      </c>
      <c r="G218" t="s">
        <v>27</v>
      </c>
      <c r="H218" s="15">
        <v>4030</v>
      </c>
      <c r="I218" s="20">
        <f>SUM(H218*VLOOKUP(G218,Tabela1[],2,FALSE))</f>
        <v>201500</v>
      </c>
    </row>
    <row r="219" spans="1:9" s="14" customFormat="1" x14ac:dyDescent="0.35">
      <c r="A219" s="12">
        <f t="shared" si="44"/>
        <v>2020</v>
      </c>
      <c r="B219" s="12" t="str">
        <f t="shared" si="45"/>
        <v>NOV</v>
      </c>
      <c r="C219" s="13">
        <v>44141</v>
      </c>
      <c r="D219" t="s">
        <v>22</v>
      </c>
      <c r="E219" t="s">
        <v>49</v>
      </c>
      <c r="F219" s="14" t="s">
        <v>10</v>
      </c>
      <c r="G219" t="s">
        <v>29</v>
      </c>
      <c r="H219" s="15">
        <v>3377</v>
      </c>
      <c r="I219" s="16">
        <f>SUM(H219*VLOOKUP(G219,Tabela1[],2,FALSE))</f>
        <v>202620</v>
      </c>
    </row>
    <row r="220" spans="1:9" s="14" customFormat="1" x14ac:dyDescent="0.35">
      <c r="A220" s="12">
        <f t="shared" si="44"/>
        <v>2020</v>
      </c>
      <c r="B220" s="12" t="str">
        <f t="shared" si="45"/>
        <v>SET</v>
      </c>
      <c r="C220" s="13">
        <v>44095</v>
      </c>
      <c r="D220" t="s">
        <v>20</v>
      </c>
      <c r="E220" t="s">
        <v>49</v>
      </c>
      <c r="F220" s="14" t="s">
        <v>11</v>
      </c>
      <c r="G220" t="s">
        <v>29</v>
      </c>
      <c r="H220" s="15">
        <v>3390</v>
      </c>
      <c r="I220" s="16">
        <f>SUM(H220*VLOOKUP(G220,Tabela1[],2,FALSE))</f>
        <v>203400</v>
      </c>
    </row>
    <row r="221" spans="1:9" s="14" customFormat="1" x14ac:dyDescent="0.35">
      <c r="A221" s="12">
        <f t="shared" si="44"/>
        <v>2020</v>
      </c>
      <c r="B221" s="12" t="str">
        <f t="shared" si="45"/>
        <v>JAN</v>
      </c>
      <c r="C221" s="13">
        <v>43859</v>
      </c>
      <c r="D221" t="s">
        <v>20</v>
      </c>
      <c r="E221" t="s">
        <v>50</v>
      </c>
      <c r="F221" s="14" t="s">
        <v>9</v>
      </c>
      <c r="G221" t="s">
        <v>31</v>
      </c>
      <c r="H221" s="15">
        <v>1200</v>
      </c>
      <c r="I221" s="16">
        <f>SUM(H221*VLOOKUP(G221,Tabela1[],2,FALSE))</f>
        <v>60000</v>
      </c>
    </row>
    <row r="222" spans="1:9" s="14" customFormat="1" x14ac:dyDescent="0.35">
      <c r="A222" s="17">
        <f t="shared" si="44"/>
        <v>2020</v>
      </c>
      <c r="B222" s="18" t="str">
        <f t="shared" si="45"/>
        <v>FEV</v>
      </c>
      <c r="C222" s="13">
        <v>43880</v>
      </c>
      <c r="D222" t="s">
        <v>20</v>
      </c>
      <c r="E222" t="s">
        <v>47</v>
      </c>
      <c r="F222" s="19" t="s">
        <v>9</v>
      </c>
      <c r="G222" t="s">
        <v>27</v>
      </c>
      <c r="H222" s="15">
        <v>1360</v>
      </c>
      <c r="I222" s="20">
        <f>SUM(H222*VLOOKUP(G222,Tabela1[],2,FALSE))</f>
        <v>68000</v>
      </c>
    </row>
    <row r="223" spans="1:9" s="14" customFormat="1" x14ac:dyDescent="0.35">
      <c r="A223" s="17">
        <f t="shared" si="44"/>
        <v>2020</v>
      </c>
      <c r="B223" s="18" t="str">
        <f t="shared" si="45"/>
        <v>MAI</v>
      </c>
      <c r="C223" s="13">
        <v>43960</v>
      </c>
      <c r="D223" t="s">
        <v>20</v>
      </c>
      <c r="E223" t="s">
        <v>46</v>
      </c>
      <c r="F223" s="19" t="s">
        <v>9</v>
      </c>
      <c r="G223" t="s">
        <v>27</v>
      </c>
      <c r="H223" s="15">
        <v>2374</v>
      </c>
      <c r="I223" s="20">
        <f>SUM(H223*VLOOKUP(G223,Tabela1[],2,FALSE))</f>
        <v>118700</v>
      </c>
    </row>
    <row r="224" spans="1:9" s="14" customFormat="1" x14ac:dyDescent="0.35">
      <c r="A224" s="12">
        <f t="shared" si="44"/>
        <v>2020</v>
      </c>
      <c r="B224" s="12" t="str">
        <f t="shared" si="45"/>
        <v>SET</v>
      </c>
      <c r="C224" s="13">
        <v>44091</v>
      </c>
      <c r="D224" t="s">
        <v>21</v>
      </c>
      <c r="E224" t="s">
        <v>45</v>
      </c>
      <c r="F224" s="14" t="s">
        <v>9</v>
      </c>
      <c r="G224" t="s">
        <v>27</v>
      </c>
      <c r="H224" s="15">
        <v>1252</v>
      </c>
      <c r="I224" s="16">
        <f>SUM(H224*VLOOKUP(G224,Tabela1[],2,FALSE))</f>
        <v>62600</v>
      </c>
    </row>
    <row r="225" spans="1:9" s="14" customFormat="1" x14ac:dyDescent="0.35">
      <c r="A225" s="12">
        <f t="shared" si="44"/>
        <v>2020</v>
      </c>
      <c r="B225" s="12" t="str">
        <f t="shared" si="45"/>
        <v>FEV</v>
      </c>
      <c r="C225" s="13">
        <v>43882</v>
      </c>
      <c r="D225" t="s">
        <v>21</v>
      </c>
      <c r="E225" t="s">
        <v>23</v>
      </c>
      <c r="F225" s="14" t="s">
        <v>11</v>
      </c>
      <c r="G225" t="s">
        <v>28</v>
      </c>
      <c r="H225" s="15">
        <v>2912</v>
      </c>
      <c r="I225" s="16">
        <f>SUM(H225*VLOOKUP(G225,Tabela1[],2,FALSE))</f>
        <v>145600</v>
      </c>
    </row>
    <row r="226" spans="1:9" s="14" customFormat="1" x14ac:dyDescent="0.35">
      <c r="A226" s="12">
        <f t="shared" ref="A226:A259" si="46">YEAR(C226)</f>
        <v>2020</v>
      </c>
      <c r="B226" s="12" t="str">
        <f t="shared" ref="B226:B257" si="47">UPPER(TEXT(C226,"mmm"))</f>
        <v>MAR</v>
      </c>
      <c r="C226" s="13">
        <v>43904</v>
      </c>
      <c r="D226" t="s">
        <v>22</v>
      </c>
      <c r="E226" t="s">
        <v>46</v>
      </c>
      <c r="F226" s="14" t="s">
        <v>14</v>
      </c>
      <c r="G226" t="s">
        <v>31</v>
      </c>
      <c r="H226" s="15">
        <v>1000</v>
      </c>
      <c r="I226" s="16">
        <f>SUM(H226*VLOOKUP(G226,Tabela1[],2,FALSE))</f>
        <v>50000</v>
      </c>
    </row>
    <row r="227" spans="1:9" s="14" customFormat="1" x14ac:dyDescent="0.35">
      <c r="A227" s="17">
        <f t="shared" si="46"/>
        <v>2020</v>
      </c>
      <c r="B227" s="18" t="str">
        <f t="shared" si="47"/>
        <v>JUL</v>
      </c>
      <c r="C227" s="13">
        <v>44021</v>
      </c>
      <c r="D227" t="s">
        <v>21</v>
      </c>
      <c r="E227" t="s">
        <v>45</v>
      </c>
      <c r="F227" s="14" t="s">
        <v>10</v>
      </c>
      <c r="G227" t="s">
        <v>30</v>
      </c>
      <c r="H227" s="7">
        <v>4489</v>
      </c>
      <c r="I227" s="20">
        <f>SUM(H227*VLOOKUP(G227,Tabela1[],2,FALSE))</f>
        <v>22445</v>
      </c>
    </row>
    <row r="228" spans="1:9" s="14" customFormat="1" x14ac:dyDescent="0.35">
      <c r="A228" s="21">
        <f t="shared" si="46"/>
        <v>2020</v>
      </c>
      <c r="B228" s="22" t="str">
        <f t="shared" si="47"/>
        <v>MAI</v>
      </c>
      <c r="C228" s="13">
        <v>43952</v>
      </c>
      <c r="D228" t="s">
        <v>21</v>
      </c>
      <c r="E228" t="s">
        <v>45</v>
      </c>
      <c r="F228" s="14" t="s">
        <v>10</v>
      </c>
      <c r="G228" t="s">
        <v>30</v>
      </c>
      <c r="H228" s="15">
        <v>3697</v>
      </c>
      <c r="I228" s="23">
        <f>SUM(H228*VLOOKUP(G228,Tabela1[],2,FALSE))</f>
        <v>18485</v>
      </c>
    </row>
    <row r="229" spans="1:9" s="14" customFormat="1" x14ac:dyDescent="0.35">
      <c r="A229" s="12">
        <f t="shared" si="46"/>
        <v>2020</v>
      </c>
      <c r="B229" s="12" t="str">
        <f t="shared" si="47"/>
        <v>NOV</v>
      </c>
      <c r="C229" s="24">
        <v>44143</v>
      </c>
      <c r="D229" t="s">
        <v>21</v>
      </c>
      <c r="E229" t="s">
        <v>24</v>
      </c>
      <c r="F229" s="14" t="s">
        <v>11</v>
      </c>
      <c r="G229" t="s">
        <v>30</v>
      </c>
      <c r="H229" s="15">
        <v>2096</v>
      </c>
      <c r="I229" s="23">
        <f>SUM(H229*VLOOKUP(G229,Tabela1[],2,FALSE))</f>
        <v>10480</v>
      </c>
    </row>
    <row r="230" spans="1:9" s="14" customFormat="1" x14ac:dyDescent="0.35">
      <c r="A230" s="12">
        <f t="shared" si="46"/>
        <v>2020</v>
      </c>
      <c r="B230" s="12" t="str">
        <f t="shared" si="47"/>
        <v>AGO</v>
      </c>
      <c r="C230" s="13">
        <v>44057</v>
      </c>
      <c r="D230" s="14" t="s">
        <v>21</v>
      </c>
      <c r="E230" t="s">
        <v>23</v>
      </c>
      <c r="F230" s="14" t="s">
        <v>9</v>
      </c>
      <c r="G230" t="s">
        <v>30</v>
      </c>
      <c r="H230" s="15">
        <v>1334</v>
      </c>
      <c r="I230" s="16">
        <f>SUM(H230*VLOOKUP(G230,Tabela1[],2,FALSE))</f>
        <v>6670</v>
      </c>
    </row>
    <row r="231" spans="1:9" s="14" customFormat="1" x14ac:dyDescent="0.35">
      <c r="A231" s="12">
        <f t="shared" si="46"/>
        <v>2020</v>
      </c>
      <c r="B231" s="12" t="str">
        <f t="shared" si="47"/>
        <v>DEZ</v>
      </c>
      <c r="C231" s="13">
        <v>44185</v>
      </c>
      <c r="D231" t="s">
        <v>20</v>
      </c>
      <c r="E231" t="s">
        <v>48</v>
      </c>
      <c r="F231" s="14" t="s">
        <v>9</v>
      </c>
      <c r="G231" t="s">
        <v>30</v>
      </c>
      <c r="H231" s="15">
        <v>3870</v>
      </c>
      <c r="I231" s="16">
        <f>SUM(H231*VLOOKUP(G231,Tabela1[],2,FALSE))</f>
        <v>19350</v>
      </c>
    </row>
    <row r="232" spans="1:9" s="14" customFormat="1" x14ac:dyDescent="0.35">
      <c r="A232" s="17">
        <f t="shared" si="46"/>
        <v>2020</v>
      </c>
      <c r="B232" s="18" t="str">
        <f t="shared" si="47"/>
        <v>NOV</v>
      </c>
      <c r="C232" s="13">
        <v>44147</v>
      </c>
      <c r="D232" t="s">
        <v>22</v>
      </c>
      <c r="E232" t="s">
        <v>45</v>
      </c>
      <c r="F232" s="19" t="s">
        <v>9</v>
      </c>
      <c r="G232" s="19" t="s">
        <v>30</v>
      </c>
      <c r="H232" s="15">
        <v>3043</v>
      </c>
      <c r="I232" s="20">
        <f>SUM(H232*VLOOKUP(G232,Tabela1[],2,FALSE))</f>
        <v>15215</v>
      </c>
    </row>
    <row r="233" spans="1:9" s="14" customFormat="1" x14ac:dyDescent="0.35">
      <c r="A233" s="17">
        <f t="shared" si="46"/>
        <v>2020</v>
      </c>
      <c r="B233" s="18" t="str">
        <f t="shared" si="47"/>
        <v>NOV</v>
      </c>
      <c r="C233" s="13">
        <v>44161</v>
      </c>
      <c r="D233" t="s">
        <v>21</v>
      </c>
      <c r="E233" t="s">
        <v>24</v>
      </c>
      <c r="F233" s="19" t="s">
        <v>9</v>
      </c>
      <c r="G233" t="s">
        <v>29</v>
      </c>
      <c r="H233" s="15">
        <v>4501</v>
      </c>
      <c r="I233" s="20">
        <f>SUM(H233*VLOOKUP(G233,Tabela1[],2,FALSE))</f>
        <v>270060</v>
      </c>
    </row>
    <row r="234" spans="1:9" s="14" customFormat="1" x14ac:dyDescent="0.35">
      <c r="A234" s="12">
        <f t="shared" si="46"/>
        <v>2020</v>
      </c>
      <c r="B234" s="12" t="str">
        <f t="shared" si="47"/>
        <v>JUN</v>
      </c>
      <c r="C234" s="13">
        <v>44002</v>
      </c>
      <c r="D234" t="s">
        <v>20</v>
      </c>
      <c r="E234" t="s">
        <v>23</v>
      </c>
      <c r="F234" t="s">
        <v>10</v>
      </c>
      <c r="G234" t="s">
        <v>29</v>
      </c>
      <c r="H234" s="15">
        <v>1106</v>
      </c>
      <c r="I234" s="16">
        <f>SUM(H234*VLOOKUP(G234,Tabela1[],2,FALSE))</f>
        <v>66360</v>
      </c>
    </row>
    <row r="235" spans="1:9" s="14" customFormat="1" x14ac:dyDescent="0.35">
      <c r="A235" s="12">
        <f t="shared" si="46"/>
        <v>2020</v>
      </c>
      <c r="B235" s="12" t="str">
        <f t="shared" si="47"/>
        <v>ABR</v>
      </c>
      <c r="C235" s="13">
        <v>43940</v>
      </c>
      <c r="D235" t="s">
        <v>20</v>
      </c>
      <c r="E235" t="s">
        <v>24</v>
      </c>
      <c r="F235" t="s">
        <v>10</v>
      </c>
      <c r="G235" t="s">
        <v>31</v>
      </c>
      <c r="H235" s="15">
        <v>987</v>
      </c>
      <c r="I235" s="16">
        <f>SUM(H235*VLOOKUP(G235,Tabela1[],2,FALSE))</f>
        <v>49350</v>
      </c>
    </row>
    <row r="236" spans="1:9" s="14" customFormat="1" x14ac:dyDescent="0.35">
      <c r="A236" s="12">
        <f t="shared" si="46"/>
        <v>2020</v>
      </c>
      <c r="B236" s="12" t="str">
        <f t="shared" si="47"/>
        <v>OUT</v>
      </c>
      <c r="C236" s="13">
        <v>44115</v>
      </c>
      <c r="D236" t="s">
        <v>20</v>
      </c>
      <c r="E236" t="s">
        <v>23</v>
      </c>
      <c r="F236" t="s">
        <v>11</v>
      </c>
      <c r="G236" t="s">
        <v>28</v>
      </c>
      <c r="H236" s="15">
        <v>3955</v>
      </c>
      <c r="I236" s="16">
        <f>SUM(H236*VLOOKUP(G236,Tabela1[],2,FALSE))</f>
        <v>197750</v>
      </c>
    </row>
    <row r="237" spans="1:9" s="14" customFormat="1" x14ac:dyDescent="0.35">
      <c r="A237" s="17">
        <f t="shared" si="46"/>
        <v>2020</v>
      </c>
      <c r="B237" s="18" t="str">
        <f t="shared" si="47"/>
        <v>SET</v>
      </c>
      <c r="C237" s="13">
        <v>44092</v>
      </c>
      <c r="D237" t="s">
        <v>20</v>
      </c>
      <c r="E237" t="s">
        <v>23</v>
      </c>
      <c r="F237" t="s">
        <v>9</v>
      </c>
      <c r="G237" t="s">
        <v>31</v>
      </c>
      <c r="H237" s="15">
        <v>1200</v>
      </c>
      <c r="I237" s="20">
        <f>SUM(H237*VLOOKUP(G237,Tabela1[],2,FALSE))</f>
        <v>60000</v>
      </c>
    </row>
    <row r="238" spans="1:9" s="14" customFormat="1" x14ac:dyDescent="0.35">
      <c r="A238" s="17">
        <f t="shared" si="46"/>
        <v>2020</v>
      </c>
      <c r="B238" s="18" t="str">
        <f t="shared" si="47"/>
        <v>JUN</v>
      </c>
      <c r="C238" s="13">
        <v>43986</v>
      </c>
      <c r="D238" t="s">
        <v>22</v>
      </c>
      <c r="E238" t="s">
        <v>26</v>
      </c>
      <c r="F238" t="s">
        <v>9</v>
      </c>
      <c r="G238" t="s">
        <v>27</v>
      </c>
      <c r="H238" s="15">
        <v>1886</v>
      </c>
      <c r="I238" s="20">
        <f>SUM(H238*VLOOKUP(G238,Tabela1[],2,FALSE))</f>
        <v>94300</v>
      </c>
    </row>
    <row r="239" spans="1:9" s="14" customFormat="1" x14ac:dyDescent="0.35">
      <c r="A239" s="12">
        <f t="shared" si="46"/>
        <v>2020</v>
      </c>
      <c r="B239" s="12" t="str">
        <f t="shared" si="47"/>
        <v>MAR</v>
      </c>
      <c r="C239" s="13">
        <v>43911</v>
      </c>
      <c r="D239" t="s">
        <v>22</v>
      </c>
      <c r="E239" t="s">
        <v>24</v>
      </c>
      <c r="F239" t="s">
        <v>12</v>
      </c>
      <c r="G239" t="s">
        <v>29</v>
      </c>
      <c r="H239" s="15">
        <v>1185</v>
      </c>
      <c r="I239" s="16">
        <f>SUM(H239*VLOOKUP(G239,Tabela1[],2,FALSE))</f>
        <v>71100</v>
      </c>
    </row>
    <row r="240" spans="1:9" s="14" customFormat="1" x14ac:dyDescent="0.35">
      <c r="A240" s="12">
        <f t="shared" si="46"/>
        <v>2020</v>
      </c>
      <c r="B240" s="12" t="str">
        <f t="shared" si="47"/>
        <v>JUN</v>
      </c>
      <c r="C240" s="13">
        <v>43996</v>
      </c>
      <c r="D240" t="s">
        <v>22</v>
      </c>
      <c r="E240" t="s">
        <v>26</v>
      </c>
      <c r="F240" t="s">
        <v>12</v>
      </c>
      <c r="G240" t="s">
        <v>29</v>
      </c>
      <c r="H240" s="15">
        <v>3544</v>
      </c>
      <c r="I240" s="16">
        <f>SUM(H240*VLOOKUP(G240,Tabela1[],2,FALSE))</f>
        <v>212640</v>
      </c>
    </row>
    <row r="241" spans="1:9" s="14" customFormat="1" x14ac:dyDescent="0.35">
      <c r="A241" s="12">
        <f t="shared" si="46"/>
        <v>2020</v>
      </c>
      <c r="B241" s="12" t="str">
        <f t="shared" si="47"/>
        <v>NOV</v>
      </c>
      <c r="C241" s="13">
        <v>44140</v>
      </c>
      <c r="D241" t="s">
        <v>22</v>
      </c>
      <c r="E241" t="s">
        <v>49</v>
      </c>
      <c r="F241" t="s">
        <v>14</v>
      </c>
      <c r="G241" t="s">
        <v>31</v>
      </c>
      <c r="H241" s="15">
        <v>1200</v>
      </c>
      <c r="I241" s="16">
        <f>SUM(H241*VLOOKUP(G241,Tabela1[],2,FALSE))</f>
        <v>60000</v>
      </c>
    </row>
    <row r="242" spans="1:9" s="14" customFormat="1" x14ac:dyDescent="0.35">
      <c r="A242" s="17">
        <f t="shared" si="46"/>
        <v>2020</v>
      </c>
      <c r="B242" s="18" t="str">
        <f t="shared" si="47"/>
        <v>DEZ</v>
      </c>
      <c r="C242" s="13">
        <v>44185</v>
      </c>
      <c r="D242" t="s">
        <v>22</v>
      </c>
      <c r="E242" t="s">
        <v>45</v>
      </c>
      <c r="F242" t="s">
        <v>9</v>
      </c>
      <c r="G242" t="s">
        <v>27</v>
      </c>
      <c r="H242" s="15">
        <v>4623</v>
      </c>
      <c r="I242" s="20">
        <f>SUM(H242*VLOOKUP(G242,Tabela1[],2,FALSE))</f>
        <v>231150</v>
      </c>
    </row>
    <row r="243" spans="1:9" s="14" customFormat="1" x14ac:dyDescent="0.35">
      <c r="A243" s="17">
        <f t="shared" si="46"/>
        <v>2020</v>
      </c>
      <c r="B243" s="18" t="str">
        <f t="shared" si="47"/>
        <v>JUN</v>
      </c>
      <c r="C243" s="13">
        <v>43997</v>
      </c>
      <c r="D243" t="s">
        <v>22</v>
      </c>
      <c r="E243" t="s">
        <v>26</v>
      </c>
      <c r="F243" t="s">
        <v>10</v>
      </c>
      <c r="G243" t="s">
        <v>27</v>
      </c>
      <c r="H243" s="15">
        <v>2443</v>
      </c>
      <c r="I243" s="20">
        <f>SUM(H243*VLOOKUP(G243,Tabela1[],2,FALSE))</f>
        <v>122150</v>
      </c>
    </row>
    <row r="244" spans="1:9" s="14" customFormat="1" x14ac:dyDescent="0.35">
      <c r="A244" s="12">
        <f t="shared" si="46"/>
        <v>2020</v>
      </c>
      <c r="B244" s="12" t="str">
        <f t="shared" si="47"/>
        <v>FEV</v>
      </c>
      <c r="C244" s="13">
        <v>43877</v>
      </c>
      <c r="D244" t="s">
        <v>22</v>
      </c>
      <c r="E244" t="s">
        <v>24</v>
      </c>
      <c r="F244" t="s">
        <v>11</v>
      </c>
      <c r="G244" t="s">
        <v>27</v>
      </c>
      <c r="H244" s="15">
        <v>1333</v>
      </c>
      <c r="I244" s="16">
        <f>SUM(H244*VLOOKUP(G244,Tabela1[],2,FALSE))</f>
        <v>66650</v>
      </c>
    </row>
    <row r="245" spans="1:9" s="14" customFormat="1" x14ac:dyDescent="0.35">
      <c r="A245" s="12">
        <f t="shared" si="46"/>
        <v>2020</v>
      </c>
      <c r="B245" s="12" t="str">
        <f t="shared" si="47"/>
        <v>MAR</v>
      </c>
      <c r="C245" s="13">
        <v>43892</v>
      </c>
      <c r="D245" t="s">
        <v>22</v>
      </c>
      <c r="E245" t="s">
        <v>45</v>
      </c>
      <c r="F245" t="s">
        <v>14</v>
      </c>
      <c r="G245" t="s">
        <v>28</v>
      </c>
      <c r="H245" s="15">
        <v>4384</v>
      </c>
      <c r="I245" s="16">
        <f>SUM(H245*VLOOKUP(G245,Tabela1[],2,FALSE))</f>
        <v>219200</v>
      </c>
    </row>
    <row r="246" spans="1:9" s="14" customFormat="1" x14ac:dyDescent="0.35">
      <c r="A246" s="12">
        <f t="shared" si="46"/>
        <v>2020</v>
      </c>
      <c r="B246" s="12" t="str">
        <f t="shared" si="47"/>
        <v>JUL</v>
      </c>
      <c r="C246" s="13">
        <v>44040</v>
      </c>
      <c r="D246" t="s">
        <v>22</v>
      </c>
      <c r="E246" t="s">
        <v>49</v>
      </c>
      <c r="F246" t="s">
        <v>10</v>
      </c>
      <c r="G246" t="s">
        <v>31</v>
      </c>
      <c r="H246" s="15">
        <v>2589</v>
      </c>
      <c r="I246" s="16">
        <f>SUM(H246*VLOOKUP(G246,Tabela1[],2,FALSE))</f>
        <v>129450</v>
      </c>
    </row>
    <row r="247" spans="1:9" s="14" customFormat="1" x14ac:dyDescent="0.35">
      <c r="A247" s="17">
        <f t="shared" si="46"/>
        <v>2020</v>
      </c>
      <c r="B247" s="18" t="str">
        <f t="shared" si="47"/>
        <v>NOV</v>
      </c>
      <c r="C247" s="13">
        <v>44159</v>
      </c>
      <c r="D247" t="s">
        <v>22</v>
      </c>
      <c r="E247" t="s">
        <v>23</v>
      </c>
      <c r="F247" t="s">
        <v>10</v>
      </c>
      <c r="G247" t="s">
        <v>31</v>
      </c>
      <c r="H247" s="15">
        <v>1200</v>
      </c>
      <c r="I247" s="20">
        <f>SUM(H247*VLOOKUP(G247,Tabela1[],2,FALSE))</f>
        <v>60000</v>
      </c>
    </row>
    <row r="248" spans="1:9" s="14" customFormat="1" x14ac:dyDescent="0.35">
      <c r="A248" s="17">
        <f t="shared" si="46"/>
        <v>2020</v>
      </c>
      <c r="B248" s="18" t="str">
        <f t="shared" si="47"/>
        <v>DEZ</v>
      </c>
      <c r="C248" s="13">
        <v>44187</v>
      </c>
      <c r="D248" t="s">
        <v>22</v>
      </c>
      <c r="E248" t="s">
        <v>24</v>
      </c>
      <c r="F248" t="s">
        <v>11</v>
      </c>
      <c r="G248" t="s">
        <v>28</v>
      </c>
      <c r="H248" s="15">
        <v>1667</v>
      </c>
      <c r="I248" s="20">
        <f>SUM(H248*VLOOKUP(G248,Tabela1[],2,FALSE))</f>
        <v>83350</v>
      </c>
    </row>
    <row r="249" spans="1:9" s="14" customFormat="1" x14ac:dyDescent="0.35">
      <c r="A249" s="12">
        <f t="shared" si="46"/>
        <v>2020</v>
      </c>
      <c r="B249" s="12" t="str">
        <f t="shared" si="47"/>
        <v>ABR</v>
      </c>
      <c r="C249" s="13">
        <v>43947</v>
      </c>
      <c r="D249" t="s">
        <v>22</v>
      </c>
      <c r="E249" t="s">
        <v>49</v>
      </c>
      <c r="F249" t="s">
        <v>9</v>
      </c>
      <c r="G249" t="s">
        <v>27</v>
      </c>
      <c r="H249" s="15">
        <v>1958</v>
      </c>
      <c r="I249" s="16">
        <f>SUM(H249*VLOOKUP(G249,Tabela1[],2,FALSE))</f>
        <v>97900</v>
      </c>
    </row>
    <row r="250" spans="1:9" s="14" customFormat="1" x14ac:dyDescent="0.35">
      <c r="A250" s="12">
        <f t="shared" si="46"/>
        <v>2020</v>
      </c>
      <c r="B250" s="12" t="str">
        <f t="shared" si="47"/>
        <v>MAR</v>
      </c>
      <c r="C250" s="13">
        <v>43906</v>
      </c>
      <c r="D250" t="s">
        <v>22</v>
      </c>
      <c r="E250" t="s">
        <v>23</v>
      </c>
      <c r="F250" t="s">
        <v>10</v>
      </c>
      <c r="G250" t="s">
        <v>28</v>
      </c>
      <c r="H250" s="15">
        <v>1600</v>
      </c>
      <c r="I250" s="16">
        <f>SUM(H250*VLOOKUP(G250,Tabela1[],2,FALSE))</f>
        <v>80000</v>
      </c>
    </row>
    <row r="251" spans="1:9" s="14" customFormat="1" x14ac:dyDescent="0.35">
      <c r="A251" s="12">
        <f t="shared" si="46"/>
        <v>2020</v>
      </c>
      <c r="B251" s="12" t="str">
        <f t="shared" si="47"/>
        <v>SET</v>
      </c>
      <c r="C251" s="13">
        <v>44104</v>
      </c>
      <c r="D251" t="s">
        <v>22</v>
      </c>
      <c r="E251" t="s">
        <v>23</v>
      </c>
      <c r="F251" t="s">
        <v>10</v>
      </c>
      <c r="G251" t="s">
        <v>31</v>
      </c>
      <c r="H251" s="15">
        <v>1200</v>
      </c>
      <c r="I251" s="16">
        <f>SUM(H251*VLOOKUP(G251,Tabela1[],2,FALSE))</f>
        <v>60000</v>
      </c>
    </row>
    <row r="252" spans="1:9" s="14" customFormat="1" x14ac:dyDescent="0.35">
      <c r="A252" s="17">
        <f t="shared" si="46"/>
        <v>2020</v>
      </c>
      <c r="B252" s="18" t="str">
        <f t="shared" si="47"/>
        <v>ABR</v>
      </c>
      <c r="C252" s="13">
        <v>43928</v>
      </c>
      <c r="D252" t="s">
        <v>22</v>
      </c>
      <c r="E252" t="s">
        <v>23</v>
      </c>
      <c r="F252" t="s">
        <v>11</v>
      </c>
      <c r="G252" t="s">
        <v>31</v>
      </c>
      <c r="H252" s="15">
        <v>3885</v>
      </c>
      <c r="I252" s="20">
        <f>SUM(H252*VLOOKUP(G252,Tabela1[],2,FALSE))</f>
        <v>194250</v>
      </c>
    </row>
    <row r="253" spans="1:9" s="14" customFormat="1" x14ac:dyDescent="0.35">
      <c r="A253" s="17">
        <f t="shared" si="46"/>
        <v>2020</v>
      </c>
      <c r="B253" s="18" t="str">
        <f t="shared" si="47"/>
        <v>SET</v>
      </c>
      <c r="C253" s="13">
        <v>44078</v>
      </c>
      <c r="D253" t="s">
        <v>22</v>
      </c>
      <c r="E253" t="s">
        <v>23</v>
      </c>
      <c r="F253" t="s">
        <v>9</v>
      </c>
      <c r="G253" t="s">
        <v>30</v>
      </c>
      <c r="H253" s="15">
        <v>1766</v>
      </c>
      <c r="I253" s="20">
        <f>SUM(H253*VLOOKUP(G253,Tabela1[],2,FALSE))</f>
        <v>8830</v>
      </c>
    </row>
    <row r="254" spans="1:9" s="14" customFormat="1" x14ac:dyDescent="0.35">
      <c r="A254" s="12">
        <f t="shared" si="46"/>
        <v>2020</v>
      </c>
      <c r="B254" s="12" t="str">
        <f t="shared" si="47"/>
        <v>MAI</v>
      </c>
      <c r="C254" s="13">
        <v>43955</v>
      </c>
      <c r="D254" t="s">
        <v>22</v>
      </c>
      <c r="E254" t="s">
        <v>48</v>
      </c>
      <c r="F254" t="s">
        <v>9</v>
      </c>
      <c r="G254" t="s">
        <v>27</v>
      </c>
      <c r="H254" s="15">
        <v>4560</v>
      </c>
      <c r="I254" s="16">
        <f>SUM(H254*VLOOKUP(G254,Tabela1[],2,FALSE))</f>
        <v>228000</v>
      </c>
    </row>
    <row r="255" spans="1:9" s="14" customFormat="1" x14ac:dyDescent="0.35">
      <c r="A255" s="12">
        <f t="shared" si="46"/>
        <v>2020</v>
      </c>
      <c r="B255" s="12" t="str">
        <f t="shared" si="47"/>
        <v>FEV</v>
      </c>
      <c r="C255" s="13">
        <v>43879</v>
      </c>
      <c r="D255" t="s">
        <v>22</v>
      </c>
      <c r="E255" t="s">
        <v>26</v>
      </c>
      <c r="F255" t="s">
        <v>12</v>
      </c>
      <c r="G255" t="s">
        <v>29</v>
      </c>
      <c r="H255" s="15">
        <v>2689</v>
      </c>
      <c r="I255" s="16">
        <f>SUM(H255*VLOOKUP(G255,Tabela1[],2,FALSE))</f>
        <v>161340</v>
      </c>
    </row>
    <row r="256" spans="1:9" s="14" customFormat="1" x14ac:dyDescent="0.35">
      <c r="A256" s="12">
        <f t="shared" si="46"/>
        <v>2020</v>
      </c>
      <c r="B256" s="12" t="str">
        <f t="shared" si="47"/>
        <v>SET</v>
      </c>
      <c r="C256" s="13">
        <v>44075</v>
      </c>
      <c r="D256" t="s">
        <v>22</v>
      </c>
      <c r="E256" t="s">
        <v>47</v>
      </c>
      <c r="F256" t="s">
        <v>12</v>
      </c>
      <c r="G256" t="s">
        <v>29</v>
      </c>
      <c r="H256" s="15">
        <v>2672</v>
      </c>
      <c r="I256" s="16">
        <f>SUM(H256*VLOOKUP(G256,Tabela1[],2,FALSE))</f>
        <v>160320</v>
      </c>
    </row>
    <row r="257" spans="1:9" s="14" customFormat="1" x14ac:dyDescent="0.35">
      <c r="A257" s="17">
        <f t="shared" si="46"/>
        <v>2020</v>
      </c>
      <c r="B257" s="18" t="str">
        <f t="shared" si="47"/>
        <v>ABR</v>
      </c>
      <c r="C257" s="13">
        <v>43928</v>
      </c>
      <c r="D257" t="s">
        <v>22</v>
      </c>
      <c r="E257" t="s">
        <v>25</v>
      </c>
      <c r="F257" t="s">
        <v>14</v>
      </c>
      <c r="G257" t="s">
        <v>30</v>
      </c>
      <c r="H257" s="7">
        <v>4489</v>
      </c>
      <c r="I257" s="20">
        <f>SUM(H257*VLOOKUP(G257,Tabela1[],2,FALSE))</f>
        <v>22445</v>
      </c>
    </row>
    <row r="258" spans="1:9" s="14" customFormat="1" x14ac:dyDescent="0.35">
      <c r="A258" s="21">
        <f t="shared" si="46"/>
        <v>2020</v>
      </c>
      <c r="B258" s="22" t="str">
        <f t="shared" ref="B258:B259" si="48">UPPER(TEXT(C258,"mmm"))</f>
        <v>JAN</v>
      </c>
      <c r="C258" s="13">
        <v>43855</v>
      </c>
      <c r="D258" t="s">
        <v>21</v>
      </c>
      <c r="E258" t="s">
        <v>24</v>
      </c>
      <c r="F258" t="s">
        <v>9</v>
      </c>
      <c r="G258" t="s">
        <v>27</v>
      </c>
      <c r="H258" s="15">
        <v>4948</v>
      </c>
      <c r="I258" s="23">
        <f>SUM(H258*VLOOKUP(G258,Tabela1[],2,FALSE))</f>
        <v>247400</v>
      </c>
    </row>
    <row r="259" spans="1:9" s="14" customFormat="1" x14ac:dyDescent="0.35">
      <c r="A259" s="12">
        <f t="shared" si="46"/>
        <v>2020</v>
      </c>
      <c r="B259" s="12" t="str">
        <f t="shared" si="48"/>
        <v>FEV</v>
      </c>
      <c r="C259" s="24">
        <v>43886</v>
      </c>
      <c r="D259" t="s">
        <v>22</v>
      </c>
      <c r="E259" t="s">
        <v>50</v>
      </c>
      <c r="F259" t="s">
        <v>10</v>
      </c>
      <c r="G259" t="s">
        <v>27</v>
      </c>
      <c r="H259" s="15">
        <v>1334</v>
      </c>
      <c r="I259" s="23">
        <f>SUM(H259*VLOOKUP(G259,Tabela1[],2,FALSE))</f>
        <v>66700</v>
      </c>
    </row>
    <row r="260" spans="1:9" x14ac:dyDescent="0.35">
      <c r="A260" s="1">
        <f t="shared" ref="A260:A267" si="49">YEAR(C260)</f>
        <v>2020</v>
      </c>
      <c r="B260" s="1" t="str">
        <f t="shared" ref="B260:B267" si="50">UPPER(TEXT(C260,"mmm"))</f>
        <v>MAR</v>
      </c>
      <c r="C260" s="13">
        <v>43906</v>
      </c>
      <c r="D260" t="s">
        <v>22</v>
      </c>
      <c r="E260" t="s">
        <v>45</v>
      </c>
      <c r="F260" t="s">
        <v>11</v>
      </c>
      <c r="G260" t="s">
        <v>27</v>
      </c>
      <c r="H260" s="7">
        <v>1064</v>
      </c>
      <c r="I260" s="23">
        <f>SUM(H260*VLOOKUP(G260,Tabela1[],2,FALSE))</f>
        <v>53200</v>
      </c>
    </row>
    <row r="261" spans="1:9" x14ac:dyDescent="0.35">
      <c r="A261" s="1">
        <f t="shared" si="49"/>
        <v>2020</v>
      </c>
      <c r="B261" s="1" t="str">
        <f t="shared" si="50"/>
        <v>NOV</v>
      </c>
      <c r="C261" s="13">
        <v>44142</v>
      </c>
      <c r="D261" t="s">
        <v>22</v>
      </c>
      <c r="E261" t="s">
        <v>23</v>
      </c>
      <c r="F261" t="s">
        <v>14</v>
      </c>
      <c r="G261" t="s">
        <v>28</v>
      </c>
      <c r="H261" s="7">
        <v>2712</v>
      </c>
      <c r="I261" s="23">
        <f>SUM(H261*VLOOKUP(G261,Tabela1[],2,FALSE))</f>
        <v>135600</v>
      </c>
    </row>
    <row r="262" spans="1:9" x14ac:dyDescent="0.35">
      <c r="A262" s="1">
        <f t="shared" si="49"/>
        <v>2020</v>
      </c>
      <c r="B262" s="1" t="str">
        <f t="shared" si="50"/>
        <v>SET</v>
      </c>
      <c r="C262" s="13">
        <v>44085</v>
      </c>
      <c r="D262" t="s">
        <v>22</v>
      </c>
      <c r="E262" t="s">
        <v>23</v>
      </c>
      <c r="F262" t="s">
        <v>10</v>
      </c>
      <c r="G262" t="s">
        <v>30</v>
      </c>
      <c r="H262" s="7">
        <v>2216</v>
      </c>
      <c r="I262" s="23">
        <f>SUM(H262*VLOOKUP(G262,Tabela1[],2,FALSE))</f>
        <v>11080</v>
      </c>
    </row>
    <row r="263" spans="1:9" x14ac:dyDescent="0.35">
      <c r="A263" s="1">
        <f t="shared" si="49"/>
        <v>2020</v>
      </c>
      <c r="B263" s="1" t="str">
        <f t="shared" si="50"/>
        <v>OUT</v>
      </c>
      <c r="C263" s="13">
        <v>44121</v>
      </c>
      <c r="D263" t="s">
        <v>22</v>
      </c>
      <c r="E263" t="s">
        <v>23</v>
      </c>
      <c r="F263" t="s">
        <v>10</v>
      </c>
      <c r="G263" t="s">
        <v>30</v>
      </c>
      <c r="H263" s="7">
        <v>4960</v>
      </c>
      <c r="I263" s="23">
        <f>SUM(H263*VLOOKUP(G263,Tabela1[],2,FALSE))</f>
        <v>24800</v>
      </c>
    </row>
    <row r="264" spans="1:9" x14ac:dyDescent="0.35">
      <c r="A264" s="1">
        <f t="shared" si="49"/>
        <v>2020</v>
      </c>
      <c r="B264" s="1" t="str">
        <f t="shared" si="50"/>
        <v>AGO</v>
      </c>
      <c r="C264" s="13">
        <v>44058</v>
      </c>
      <c r="D264" t="s">
        <v>20</v>
      </c>
      <c r="E264" t="s">
        <v>26</v>
      </c>
      <c r="F264" t="s">
        <v>11</v>
      </c>
      <c r="G264" t="s">
        <v>30</v>
      </c>
      <c r="H264" s="7">
        <v>4669</v>
      </c>
      <c r="I264" s="23">
        <f>SUM(H264*VLOOKUP(G264,Tabela1[],2,FALSE))</f>
        <v>23345</v>
      </c>
    </row>
    <row r="265" spans="1:9" x14ac:dyDescent="0.35">
      <c r="A265" s="1">
        <f t="shared" si="49"/>
        <v>2020</v>
      </c>
      <c r="B265" s="1" t="str">
        <f t="shared" si="50"/>
        <v>ABR</v>
      </c>
      <c r="C265" s="13">
        <v>43949</v>
      </c>
      <c r="D265" t="s">
        <v>22</v>
      </c>
      <c r="E265" t="s">
        <v>26</v>
      </c>
      <c r="F265" t="s">
        <v>9</v>
      </c>
      <c r="G265" t="s">
        <v>30</v>
      </c>
      <c r="H265" s="7">
        <v>1658</v>
      </c>
      <c r="I265" s="23">
        <f>SUM(H265*VLOOKUP(G265,Tabela1[],2,FALSE))</f>
        <v>8290</v>
      </c>
    </row>
    <row r="266" spans="1:9" x14ac:dyDescent="0.35">
      <c r="A266" s="1">
        <f t="shared" si="49"/>
        <v>2020</v>
      </c>
      <c r="B266" s="1" t="str">
        <f t="shared" si="50"/>
        <v>JAN</v>
      </c>
      <c r="C266" s="13">
        <v>43855</v>
      </c>
      <c r="D266" t="s">
        <v>22</v>
      </c>
      <c r="E266" t="s">
        <v>23</v>
      </c>
      <c r="F266" t="s">
        <v>12</v>
      </c>
      <c r="G266" t="s">
        <v>30</v>
      </c>
      <c r="H266" s="7">
        <v>4515</v>
      </c>
      <c r="I266" s="23">
        <f>SUM(H266*VLOOKUP(G266,Tabela1[],2,FALSE))</f>
        <v>22575</v>
      </c>
    </row>
    <row r="267" spans="1:9" x14ac:dyDescent="0.35">
      <c r="A267" s="1">
        <f t="shared" si="49"/>
        <v>2020</v>
      </c>
      <c r="B267" s="1" t="str">
        <f t="shared" si="50"/>
        <v>JAN</v>
      </c>
      <c r="C267" s="13">
        <v>43836</v>
      </c>
      <c r="D267" t="s">
        <v>22</v>
      </c>
      <c r="E267" t="s">
        <v>23</v>
      </c>
      <c r="F267" t="s">
        <v>12</v>
      </c>
      <c r="G267" t="s">
        <v>30</v>
      </c>
      <c r="H267" s="7">
        <v>1365</v>
      </c>
      <c r="I267" s="23">
        <f>SUM(H267*VLOOKUP(G267,Tabela1[],2,FALSE))</f>
        <v>6825</v>
      </c>
    </row>
    <row r="268" spans="1:9" x14ac:dyDescent="0.35">
      <c r="A268" s="1">
        <f t="shared" ref="A268:A292" si="51">YEAR(C268)</f>
        <v>2020</v>
      </c>
      <c r="B268" s="1" t="str">
        <f t="shared" ref="B268:B292" si="52">UPPER(TEXT(C268,"mmm"))</f>
        <v>SET</v>
      </c>
      <c r="C268" s="13">
        <v>44086</v>
      </c>
      <c r="D268" t="s">
        <v>22</v>
      </c>
      <c r="E268" t="s">
        <v>26</v>
      </c>
      <c r="F268" t="s">
        <v>10</v>
      </c>
      <c r="G268" t="s">
        <v>27</v>
      </c>
      <c r="H268" s="15">
        <v>3359</v>
      </c>
      <c r="I268" s="20">
        <f>SUM(H268*VLOOKUP(G268,Tabela1[],2,FALSE))</f>
        <v>167950</v>
      </c>
    </row>
    <row r="269" spans="1:9" x14ac:dyDescent="0.35">
      <c r="A269" s="1">
        <f t="shared" si="51"/>
        <v>2020</v>
      </c>
      <c r="B269" s="1" t="str">
        <f t="shared" si="52"/>
        <v>JUL</v>
      </c>
      <c r="C269" s="13">
        <v>44016</v>
      </c>
      <c r="D269" t="s">
        <v>22</v>
      </c>
      <c r="E269" t="s">
        <v>24</v>
      </c>
      <c r="F269" t="s">
        <v>11</v>
      </c>
      <c r="G269" t="s">
        <v>27</v>
      </c>
      <c r="H269" s="15">
        <v>3778</v>
      </c>
      <c r="I269" s="16">
        <f>SUM(H269*VLOOKUP(G269,Tabela1[],2,FALSE))</f>
        <v>188900</v>
      </c>
    </row>
    <row r="270" spans="1:9" x14ac:dyDescent="0.35">
      <c r="A270" s="1">
        <f t="shared" si="51"/>
        <v>2020</v>
      </c>
      <c r="B270" s="1" t="str">
        <f t="shared" si="52"/>
        <v>JUN</v>
      </c>
      <c r="C270" s="13">
        <v>43994</v>
      </c>
      <c r="D270" t="s">
        <v>22</v>
      </c>
      <c r="E270" t="s">
        <v>45</v>
      </c>
      <c r="F270" t="s">
        <v>14</v>
      </c>
      <c r="G270" t="s">
        <v>28</v>
      </c>
      <c r="H270" s="15">
        <v>1008</v>
      </c>
      <c r="I270" s="16">
        <f>SUM(H270*VLOOKUP(G270,Tabela1[],2,FALSE))</f>
        <v>50400</v>
      </c>
    </row>
    <row r="271" spans="1:9" x14ac:dyDescent="0.35">
      <c r="A271" s="1">
        <f t="shared" si="51"/>
        <v>2020</v>
      </c>
      <c r="B271" s="1" t="str">
        <f t="shared" si="52"/>
        <v>AGO</v>
      </c>
      <c r="C271" s="13">
        <v>44066</v>
      </c>
      <c r="D271" t="s">
        <v>22</v>
      </c>
      <c r="E271" t="s">
        <v>49</v>
      </c>
      <c r="F271" t="s">
        <v>10</v>
      </c>
      <c r="G271" t="s">
        <v>30</v>
      </c>
      <c r="H271" s="15">
        <v>2735</v>
      </c>
      <c r="I271" s="16">
        <f>SUM(H271*VLOOKUP(G271,Tabela1[],2,FALSE))</f>
        <v>13675</v>
      </c>
    </row>
    <row r="272" spans="1:9" x14ac:dyDescent="0.35">
      <c r="A272" s="1">
        <f t="shared" si="51"/>
        <v>2020</v>
      </c>
      <c r="B272" s="1" t="str">
        <f t="shared" si="52"/>
        <v>OUT</v>
      </c>
      <c r="C272" s="13">
        <v>44116</v>
      </c>
      <c r="D272" t="s">
        <v>22</v>
      </c>
      <c r="E272" t="s">
        <v>23</v>
      </c>
      <c r="F272" t="s">
        <v>10</v>
      </c>
      <c r="G272" t="s">
        <v>30</v>
      </c>
      <c r="H272" s="15">
        <v>4035</v>
      </c>
      <c r="I272" s="20">
        <f>SUM(H272*VLOOKUP(G272,Tabela1[],2,FALSE))</f>
        <v>20175</v>
      </c>
    </row>
    <row r="273" spans="1:9" x14ac:dyDescent="0.35">
      <c r="A273" s="1">
        <f t="shared" si="51"/>
        <v>2020</v>
      </c>
      <c r="B273" s="1" t="str">
        <f t="shared" si="52"/>
        <v>JUL</v>
      </c>
      <c r="C273" s="13">
        <v>44040</v>
      </c>
      <c r="D273" t="s">
        <v>22</v>
      </c>
      <c r="E273" t="s">
        <v>24</v>
      </c>
      <c r="F273" t="s">
        <v>11</v>
      </c>
      <c r="G273" t="s">
        <v>28</v>
      </c>
      <c r="H273" s="15">
        <v>2576</v>
      </c>
      <c r="I273" s="20">
        <f>SUM(H273*VLOOKUP(G273,Tabela1[],2,FALSE))</f>
        <v>128800</v>
      </c>
    </row>
    <row r="274" spans="1:9" x14ac:dyDescent="0.35">
      <c r="A274" s="1">
        <f t="shared" si="51"/>
        <v>2020</v>
      </c>
      <c r="B274" s="1" t="str">
        <f t="shared" si="52"/>
        <v>JUL</v>
      </c>
      <c r="C274" s="13">
        <v>44021</v>
      </c>
      <c r="D274" t="s">
        <v>22</v>
      </c>
      <c r="E274" t="s">
        <v>49</v>
      </c>
      <c r="F274" t="s">
        <v>9</v>
      </c>
      <c r="G274" t="s">
        <v>27</v>
      </c>
      <c r="H274" s="15">
        <v>2218</v>
      </c>
      <c r="I274" s="16">
        <f>SUM(H274*VLOOKUP(G274,Tabela1[],2,FALSE))</f>
        <v>110900</v>
      </c>
    </row>
    <row r="275" spans="1:9" x14ac:dyDescent="0.35">
      <c r="A275" s="1">
        <f t="shared" si="51"/>
        <v>2020</v>
      </c>
      <c r="B275" s="1" t="str">
        <f t="shared" si="52"/>
        <v>OUT</v>
      </c>
      <c r="C275" s="13">
        <v>44111</v>
      </c>
      <c r="D275" t="s">
        <v>20</v>
      </c>
      <c r="E275" t="s">
        <v>48</v>
      </c>
      <c r="F275" t="s">
        <v>10</v>
      </c>
      <c r="G275" t="s">
        <v>28</v>
      </c>
      <c r="H275" s="15">
        <v>4417</v>
      </c>
      <c r="I275" s="16">
        <f>SUM(H275*VLOOKUP(G275,Tabela1[],2,FALSE))</f>
        <v>220850</v>
      </c>
    </row>
    <row r="276" spans="1:9" x14ac:dyDescent="0.35">
      <c r="A276" s="1">
        <f t="shared" si="51"/>
        <v>2020</v>
      </c>
      <c r="B276" s="1" t="str">
        <f t="shared" si="52"/>
        <v>JUN</v>
      </c>
      <c r="C276" s="13">
        <v>43992</v>
      </c>
      <c r="D276" t="s">
        <v>20</v>
      </c>
      <c r="E276" t="s">
        <v>24</v>
      </c>
      <c r="F276" t="s">
        <v>10</v>
      </c>
      <c r="G276" t="s">
        <v>30</v>
      </c>
      <c r="H276" s="15">
        <v>4922</v>
      </c>
      <c r="I276" s="16">
        <f>SUM(H276*VLOOKUP(G276,Tabela1[],2,FALSE))</f>
        <v>24610</v>
      </c>
    </row>
    <row r="277" spans="1:9" x14ac:dyDescent="0.35">
      <c r="A277" s="1">
        <f t="shared" si="51"/>
        <v>2020</v>
      </c>
      <c r="B277" s="1" t="str">
        <f t="shared" si="52"/>
        <v>NOV</v>
      </c>
      <c r="C277" s="13">
        <v>44155</v>
      </c>
      <c r="D277" t="s">
        <v>22</v>
      </c>
      <c r="E277" t="s">
        <v>23</v>
      </c>
      <c r="F277" t="s">
        <v>11</v>
      </c>
      <c r="G277" t="s">
        <v>30</v>
      </c>
      <c r="H277" s="15">
        <v>4991</v>
      </c>
      <c r="I277" s="20">
        <f>SUM(H277*VLOOKUP(G277,Tabela1[],2,FALSE))</f>
        <v>24955</v>
      </c>
    </row>
    <row r="278" spans="1:9" x14ac:dyDescent="0.35">
      <c r="A278" s="1">
        <f t="shared" si="51"/>
        <v>2020</v>
      </c>
      <c r="B278" s="1" t="str">
        <f t="shared" si="52"/>
        <v>AGO</v>
      </c>
      <c r="C278" s="13">
        <v>44050</v>
      </c>
      <c r="D278" t="s">
        <v>22</v>
      </c>
      <c r="E278" t="s">
        <v>23</v>
      </c>
      <c r="F278" t="s">
        <v>9</v>
      </c>
      <c r="G278" t="s">
        <v>30</v>
      </c>
      <c r="H278" s="7">
        <v>4489</v>
      </c>
      <c r="I278" s="20">
        <f>SUM(H278*VLOOKUP(G278,Tabela1[],2,FALSE))</f>
        <v>22445</v>
      </c>
    </row>
    <row r="279" spans="1:9" x14ac:dyDescent="0.35">
      <c r="A279" s="1">
        <f t="shared" si="51"/>
        <v>2020</v>
      </c>
      <c r="B279" s="1" t="str">
        <f t="shared" si="52"/>
        <v>JUN</v>
      </c>
      <c r="C279" s="13">
        <v>43987</v>
      </c>
      <c r="D279" t="s">
        <v>22</v>
      </c>
      <c r="E279" t="s">
        <v>48</v>
      </c>
      <c r="F279" t="s">
        <v>9</v>
      </c>
      <c r="G279" t="s">
        <v>27</v>
      </c>
      <c r="H279" s="15">
        <v>615</v>
      </c>
      <c r="I279" s="16">
        <f>SUM(H279*VLOOKUP(G279,Tabela1[],2,FALSE))</f>
        <v>30750</v>
      </c>
    </row>
    <row r="280" spans="1:9" x14ac:dyDescent="0.35">
      <c r="A280" s="1">
        <f t="shared" si="51"/>
        <v>2020</v>
      </c>
      <c r="B280" s="1" t="str">
        <f t="shared" si="52"/>
        <v>ABR</v>
      </c>
      <c r="C280" s="13">
        <v>43942</v>
      </c>
      <c r="D280" t="s">
        <v>22</v>
      </c>
      <c r="E280" t="s">
        <v>26</v>
      </c>
      <c r="F280" t="s">
        <v>12</v>
      </c>
      <c r="G280" t="s">
        <v>29</v>
      </c>
      <c r="H280" s="15">
        <v>4687</v>
      </c>
      <c r="I280" s="16">
        <f>SUM(H280*VLOOKUP(G280,Tabela1[],2,FALSE))</f>
        <v>281220</v>
      </c>
    </row>
    <row r="281" spans="1:9" x14ac:dyDescent="0.35">
      <c r="A281" s="1">
        <f t="shared" si="51"/>
        <v>2020</v>
      </c>
      <c r="B281" s="1" t="str">
        <f t="shared" si="52"/>
        <v>ABR</v>
      </c>
      <c r="C281" s="13">
        <v>43948</v>
      </c>
      <c r="D281" t="s">
        <v>22</v>
      </c>
      <c r="E281" t="s">
        <v>47</v>
      </c>
      <c r="F281" t="s">
        <v>12</v>
      </c>
      <c r="G281" t="s">
        <v>29</v>
      </c>
      <c r="H281" s="15">
        <v>2247</v>
      </c>
      <c r="I281" s="16">
        <f>SUM(H281*VLOOKUP(G281,Tabela1[],2,FALSE))</f>
        <v>134820</v>
      </c>
    </row>
    <row r="282" spans="1:9" x14ac:dyDescent="0.35">
      <c r="A282" s="1">
        <f t="shared" si="51"/>
        <v>2020</v>
      </c>
      <c r="B282" s="1" t="str">
        <f t="shared" si="52"/>
        <v>MAR</v>
      </c>
      <c r="C282" s="13">
        <v>43895</v>
      </c>
      <c r="D282" t="s">
        <v>22</v>
      </c>
      <c r="E282" t="s">
        <v>25</v>
      </c>
      <c r="F282" t="s">
        <v>14</v>
      </c>
      <c r="G282" t="s">
        <v>31</v>
      </c>
      <c r="H282" s="15">
        <v>4936</v>
      </c>
      <c r="I282" s="20">
        <f>SUM(H282*VLOOKUP(G282,Tabela1[],2,FALSE))</f>
        <v>246800</v>
      </c>
    </row>
    <row r="283" spans="1:9" x14ac:dyDescent="0.35">
      <c r="A283" s="1">
        <f t="shared" si="51"/>
        <v>2020</v>
      </c>
      <c r="B283" s="1" t="str">
        <f t="shared" si="52"/>
        <v>NOV</v>
      </c>
      <c r="C283" s="13">
        <v>44159</v>
      </c>
      <c r="D283" t="s">
        <v>20</v>
      </c>
      <c r="E283" t="s">
        <v>50</v>
      </c>
      <c r="F283" t="s">
        <v>9</v>
      </c>
      <c r="G283" t="s">
        <v>27</v>
      </c>
      <c r="H283" s="15">
        <v>1100</v>
      </c>
      <c r="I283" s="23">
        <f>SUM(H283*VLOOKUP(G283,Tabela1[],2,FALSE))</f>
        <v>55000</v>
      </c>
    </row>
    <row r="284" spans="1:9" x14ac:dyDescent="0.35">
      <c r="A284" s="1">
        <f t="shared" si="51"/>
        <v>2020</v>
      </c>
      <c r="B284" s="1" t="str">
        <f t="shared" si="52"/>
        <v>MAR</v>
      </c>
      <c r="C284" s="24">
        <v>43919</v>
      </c>
      <c r="D284" t="s">
        <v>21</v>
      </c>
      <c r="E284" t="s">
        <v>50</v>
      </c>
      <c r="F284" t="s">
        <v>10</v>
      </c>
      <c r="G284" t="s">
        <v>27</v>
      </c>
      <c r="H284" s="15">
        <v>775</v>
      </c>
      <c r="I284" s="23">
        <f>SUM(H284*VLOOKUP(G284,Tabela1[],2,FALSE))</f>
        <v>38750</v>
      </c>
    </row>
    <row r="285" spans="1:9" x14ac:dyDescent="0.35">
      <c r="A285" s="1">
        <f t="shared" si="51"/>
        <v>2020</v>
      </c>
      <c r="B285" s="1" t="str">
        <f t="shared" si="52"/>
        <v>AGO</v>
      </c>
      <c r="C285" s="13">
        <v>44070</v>
      </c>
      <c r="D285" t="s">
        <v>22</v>
      </c>
      <c r="E285" t="s">
        <v>45</v>
      </c>
      <c r="F285" t="s">
        <v>11</v>
      </c>
      <c r="G285" t="s">
        <v>27</v>
      </c>
      <c r="H285" s="7">
        <v>2898</v>
      </c>
      <c r="I285" s="23">
        <f>SUM(H285*VLOOKUP(G285,Tabela1[],2,FALSE))</f>
        <v>144900</v>
      </c>
    </row>
    <row r="286" spans="1:9" x14ac:dyDescent="0.35">
      <c r="A286" s="1">
        <f t="shared" si="51"/>
        <v>2020</v>
      </c>
      <c r="B286" s="1" t="str">
        <f t="shared" si="52"/>
        <v>JUN</v>
      </c>
      <c r="C286" s="13">
        <v>43992</v>
      </c>
      <c r="D286" t="s">
        <v>20</v>
      </c>
      <c r="E286" t="s">
        <v>24</v>
      </c>
      <c r="F286" t="s">
        <v>14</v>
      </c>
      <c r="G286" t="s">
        <v>28</v>
      </c>
      <c r="H286" s="7">
        <v>4909</v>
      </c>
      <c r="I286" s="23">
        <f>SUM(H286*VLOOKUP(G286,Tabela1[],2,FALSE))</f>
        <v>245450</v>
      </c>
    </row>
    <row r="287" spans="1:9" x14ac:dyDescent="0.35">
      <c r="A287" s="1">
        <f t="shared" si="51"/>
        <v>2020</v>
      </c>
      <c r="B287" s="1" t="str">
        <f t="shared" si="52"/>
        <v>DEZ</v>
      </c>
      <c r="C287" s="13">
        <v>44189</v>
      </c>
      <c r="D287" t="s">
        <v>20</v>
      </c>
      <c r="E287" t="s">
        <v>45</v>
      </c>
      <c r="F287" t="s">
        <v>10</v>
      </c>
      <c r="G287" t="s">
        <v>31</v>
      </c>
      <c r="H287" s="7">
        <v>3125</v>
      </c>
      <c r="I287" s="23">
        <f>SUM(H287*VLOOKUP(G287,Tabela1[],2,FALSE))</f>
        <v>156250</v>
      </c>
    </row>
    <row r="288" spans="1:9" x14ac:dyDescent="0.35">
      <c r="A288" s="1">
        <f t="shared" si="51"/>
        <v>2020</v>
      </c>
      <c r="B288" s="1" t="str">
        <f t="shared" si="52"/>
        <v>ABR</v>
      </c>
      <c r="C288" s="13">
        <v>43947</v>
      </c>
      <c r="D288" t="s">
        <v>20</v>
      </c>
      <c r="E288" t="s">
        <v>23</v>
      </c>
      <c r="F288" t="s">
        <v>10</v>
      </c>
      <c r="G288" t="s">
        <v>30</v>
      </c>
      <c r="H288" s="7">
        <v>2795</v>
      </c>
      <c r="I288" s="23">
        <f>SUM(H288*VLOOKUP(G288,Tabela1[],2,FALSE))</f>
        <v>13975</v>
      </c>
    </row>
    <row r="289" spans="1:9" x14ac:dyDescent="0.35">
      <c r="A289" s="1">
        <f t="shared" si="51"/>
        <v>2020</v>
      </c>
      <c r="B289" s="1" t="str">
        <f t="shared" si="52"/>
        <v>OUT</v>
      </c>
      <c r="C289" s="13">
        <v>44112</v>
      </c>
      <c r="D289" t="s">
        <v>21</v>
      </c>
      <c r="E289" t="s">
        <v>26</v>
      </c>
      <c r="F289" t="s">
        <v>11</v>
      </c>
      <c r="G289" t="s">
        <v>30</v>
      </c>
      <c r="H289" s="7">
        <v>2954</v>
      </c>
      <c r="I289" s="23">
        <f>SUM(H289*VLOOKUP(G289,Tabela1[],2,FALSE))</f>
        <v>14770</v>
      </c>
    </row>
    <row r="290" spans="1:9" x14ac:dyDescent="0.35">
      <c r="A290" s="1">
        <f t="shared" si="51"/>
        <v>2020</v>
      </c>
      <c r="B290" s="1" t="str">
        <f t="shared" si="52"/>
        <v>MAI</v>
      </c>
      <c r="C290" s="13">
        <v>43974</v>
      </c>
      <c r="D290" t="s">
        <v>21</v>
      </c>
      <c r="E290" t="s">
        <v>26</v>
      </c>
      <c r="F290" t="s">
        <v>9</v>
      </c>
      <c r="G290" t="s">
        <v>30</v>
      </c>
      <c r="H290" s="7">
        <v>4931</v>
      </c>
      <c r="I290" s="23">
        <f>SUM(H290*VLOOKUP(G290,Tabela1[],2,FALSE))</f>
        <v>24655</v>
      </c>
    </row>
    <row r="291" spans="1:9" x14ac:dyDescent="0.35">
      <c r="A291" s="1">
        <f t="shared" si="51"/>
        <v>2020</v>
      </c>
      <c r="B291" s="1" t="str">
        <f t="shared" si="52"/>
        <v>NOV</v>
      </c>
      <c r="C291" s="13">
        <v>44164</v>
      </c>
      <c r="D291" t="s">
        <v>20</v>
      </c>
      <c r="E291" t="s">
        <v>48</v>
      </c>
      <c r="F291" t="s">
        <v>12</v>
      </c>
      <c r="G291" t="s">
        <v>30</v>
      </c>
      <c r="H291" s="7">
        <v>4429</v>
      </c>
      <c r="I291" s="23">
        <f>SUM(H291*VLOOKUP(G291,Tabela1[],2,FALSE))</f>
        <v>22145</v>
      </c>
    </row>
    <row r="292" spans="1:9" x14ac:dyDescent="0.35">
      <c r="A292" s="27">
        <f t="shared" si="51"/>
        <v>2020</v>
      </c>
      <c r="B292" s="27" t="str">
        <f t="shared" si="52"/>
        <v>ABR</v>
      </c>
      <c r="C292" s="28">
        <v>43944</v>
      </c>
      <c r="D292" t="s">
        <v>22</v>
      </c>
      <c r="E292" s="29" t="s">
        <v>46</v>
      </c>
      <c r="F292" s="29" t="s">
        <v>12</v>
      </c>
      <c r="G292" s="29" t="s">
        <v>30</v>
      </c>
      <c r="H292" s="30">
        <v>1807</v>
      </c>
      <c r="I292" s="23">
        <f>SUM(H292*VLOOKUP(G292,Tabela1[],2,FALSE))</f>
        <v>9035</v>
      </c>
    </row>
    <row r="293" spans="1:9" x14ac:dyDescent="0.35">
      <c r="A293" s="1">
        <f t="shared" ref="A293:A331" si="53">YEAR(C293)</f>
        <v>2020</v>
      </c>
      <c r="B293" s="1" t="str">
        <f t="shared" ref="B293:B331" si="54">UPPER(TEXT(C293,"mmm"))</f>
        <v>SET</v>
      </c>
      <c r="C293" s="13">
        <v>44088</v>
      </c>
      <c r="D293" t="s">
        <v>21</v>
      </c>
      <c r="E293" t="s">
        <v>48</v>
      </c>
      <c r="F293" t="s">
        <v>9</v>
      </c>
      <c r="G293" t="s">
        <v>27</v>
      </c>
      <c r="H293" s="15">
        <v>3130</v>
      </c>
      <c r="I293" s="16">
        <f>SUM(H293*VLOOKUP(G293,Tabela1[],2,FALSE))</f>
        <v>156500</v>
      </c>
    </row>
    <row r="294" spans="1:9" x14ac:dyDescent="0.35">
      <c r="A294" s="1">
        <f t="shared" si="53"/>
        <v>2020</v>
      </c>
      <c r="B294" s="1" t="str">
        <f t="shared" si="54"/>
        <v>FEV</v>
      </c>
      <c r="C294" s="13">
        <v>43886</v>
      </c>
      <c r="D294" t="s">
        <v>21</v>
      </c>
      <c r="E294" t="s">
        <v>26</v>
      </c>
      <c r="F294" t="s">
        <v>12</v>
      </c>
      <c r="G294" t="s">
        <v>29</v>
      </c>
      <c r="H294" s="15">
        <v>1645</v>
      </c>
      <c r="I294" s="16">
        <f>SUM(H294*VLOOKUP(G294,Tabela1[],2,FALSE))</f>
        <v>98700</v>
      </c>
    </row>
    <row r="295" spans="1:9" x14ac:dyDescent="0.35">
      <c r="A295" s="1">
        <f t="shared" si="53"/>
        <v>2020</v>
      </c>
      <c r="B295" s="1" t="str">
        <f t="shared" si="54"/>
        <v>DEZ</v>
      </c>
      <c r="C295" s="13">
        <v>44169</v>
      </c>
      <c r="D295" t="s">
        <v>21</v>
      </c>
      <c r="E295" t="s">
        <v>47</v>
      </c>
      <c r="F295" t="s">
        <v>12</v>
      </c>
      <c r="G295" t="s">
        <v>29</v>
      </c>
      <c r="H295" s="15">
        <v>1355</v>
      </c>
      <c r="I295" s="16">
        <f>SUM(H295*VLOOKUP(G295,Tabela1[],2,FALSE))</f>
        <v>81300</v>
      </c>
    </row>
    <row r="296" spans="1:9" x14ac:dyDescent="0.35">
      <c r="A296" s="1">
        <f t="shared" si="53"/>
        <v>2020</v>
      </c>
      <c r="B296" s="1" t="str">
        <f t="shared" si="54"/>
        <v>JUN</v>
      </c>
      <c r="C296" s="13">
        <v>43993</v>
      </c>
      <c r="D296" t="s">
        <v>21</v>
      </c>
      <c r="E296" t="s">
        <v>25</v>
      </c>
      <c r="F296" t="s">
        <v>14</v>
      </c>
      <c r="G296" t="s">
        <v>31</v>
      </c>
      <c r="H296" s="15">
        <v>4881</v>
      </c>
      <c r="I296" s="20">
        <f>SUM(H296*VLOOKUP(G296,Tabela1[],2,FALSE))</f>
        <v>244050</v>
      </c>
    </row>
    <row r="297" spans="1:9" x14ac:dyDescent="0.35">
      <c r="A297" s="1">
        <f t="shared" si="53"/>
        <v>2020</v>
      </c>
      <c r="B297" s="1" t="str">
        <f t="shared" si="54"/>
        <v>JUL</v>
      </c>
      <c r="C297" s="13">
        <v>44033</v>
      </c>
      <c r="D297" t="s">
        <v>22</v>
      </c>
      <c r="E297" t="s">
        <v>50</v>
      </c>
      <c r="F297" t="s">
        <v>9</v>
      </c>
      <c r="G297" t="s">
        <v>27</v>
      </c>
      <c r="H297" s="15">
        <v>1203</v>
      </c>
      <c r="I297" s="23">
        <f>SUM(H297*VLOOKUP(G297,Tabela1[],2,FALSE))</f>
        <v>60150</v>
      </c>
    </row>
    <row r="298" spans="1:9" x14ac:dyDescent="0.35">
      <c r="A298" s="1">
        <f t="shared" si="53"/>
        <v>2020</v>
      </c>
      <c r="B298" s="1" t="str">
        <f t="shared" si="54"/>
        <v>ABR</v>
      </c>
      <c r="C298" s="24">
        <v>43931</v>
      </c>
      <c r="D298" t="s">
        <v>21</v>
      </c>
      <c r="E298" t="s">
        <v>50</v>
      </c>
      <c r="F298" t="s">
        <v>10</v>
      </c>
      <c r="G298" t="s">
        <v>27</v>
      </c>
      <c r="H298" s="15">
        <v>1674</v>
      </c>
      <c r="I298" s="23">
        <f>SUM(H298*VLOOKUP(G298,Tabela1[],2,FALSE))</f>
        <v>83700</v>
      </c>
    </row>
    <row r="299" spans="1:9" x14ac:dyDescent="0.35">
      <c r="A299" s="1">
        <f t="shared" si="53"/>
        <v>2020</v>
      </c>
      <c r="B299" s="1" t="str">
        <f t="shared" si="54"/>
        <v>DEZ</v>
      </c>
      <c r="C299" s="13">
        <v>44186</v>
      </c>
      <c r="D299" t="s">
        <v>22</v>
      </c>
      <c r="E299" t="s">
        <v>45</v>
      </c>
      <c r="F299" t="s">
        <v>11</v>
      </c>
      <c r="G299" t="s">
        <v>27</v>
      </c>
      <c r="H299" s="7">
        <v>4634</v>
      </c>
      <c r="I299" s="23">
        <f>SUM(H299*VLOOKUP(G299,Tabela1[],2,FALSE))</f>
        <v>231700</v>
      </c>
    </row>
    <row r="300" spans="1:9" x14ac:dyDescent="0.35">
      <c r="A300" s="1">
        <f t="shared" si="53"/>
        <v>2020</v>
      </c>
      <c r="B300" s="1" t="str">
        <f t="shared" si="54"/>
        <v>JUL</v>
      </c>
      <c r="C300" s="13">
        <v>44017</v>
      </c>
      <c r="D300" t="s">
        <v>20</v>
      </c>
      <c r="E300" t="s">
        <v>24</v>
      </c>
      <c r="F300" t="s">
        <v>14</v>
      </c>
      <c r="G300" t="s">
        <v>28</v>
      </c>
      <c r="H300" s="7">
        <v>634</v>
      </c>
      <c r="I300" s="23">
        <f>SUM(H300*VLOOKUP(G300,Tabela1[],2,FALSE))</f>
        <v>31700</v>
      </c>
    </row>
    <row r="301" spans="1:9" x14ac:dyDescent="0.35">
      <c r="A301" s="1">
        <f t="shared" si="53"/>
        <v>2020</v>
      </c>
      <c r="B301" s="1" t="str">
        <f t="shared" si="54"/>
        <v>DEZ</v>
      </c>
      <c r="C301" s="13">
        <v>44189</v>
      </c>
      <c r="D301" t="s">
        <v>20</v>
      </c>
      <c r="E301" t="s">
        <v>45</v>
      </c>
      <c r="F301" t="s">
        <v>10</v>
      </c>
      <c r="G301" t="s">
        <v>31</v>
      </c>
      <c r="H301" s="7">
        <v>1484</v>
      </c>
      <c r="I301" s="23">
        <f>SUM(H301*VLOOKUP(G301,Tabela1[],2,FALSE))</f>
        <v>74200</v>
      </c>
    </row>
    <row r="302" spans="1:9" x14ac:dyDescent="0.35">
      <c r="A302" s="1">
        <f t="shared" si="53"/>
        <v>2020</v>
      </c>
      <c r="B302" s="1" t="str">
        <f t="shared" si="54"/>
        <v>JUN</v>
      </c>
      <c r="C302" s="13">
        <v>44003</v>
      </c>
      <c r="D302" t="s">
        <v>20</v>
      </c>
      <c r="E302" t="s">
        <v>23</v>
      </c>
      <c r="F302" t="s">
        <v>10</v>
      </c>
      <c r="G302" t="s">
        <v>30</v>
      </c>
      <c r="H302" s="7">
        <v>3959</v>
      </c>
      <c r="I302" s="23">
        <f>SUM(H302*VLOOKUP(G302,Tabela1[],2,FALSE))</f>
        <v>19795</v>
      </c>
    </row>
    <row r="303" spans="1:9" x14ac:dyDescent="0.35">
      <c r="A303" s="1">
        <f t="shared" si="53"/>
        <v>2020</v>
      </c>
      <c r="B303" s="1" t="str">
        <f t="shared" si="54"/>
        <v>MAI</v>
      </c>
      <c r="C303" s="13">
        <v>43967</v>
      </c>
      <c r="D303" t="s">
        <v>21</v>
      </c>
      <c r="E303" t="s">
        <v>26</v>
      </c>
      <c r="F303" t="s">
        <v>11</v>
      </c>
      <c r="G303" t="s">
        <v>30</v>
      </c>
      <c r="H303" s="7">
        <v>1880</v>
      </c>
      <c r="I303" s="23">
        <f>SUM(H303*VLOOKUP(G303,Tabela1[],2,FALSE))</f>
        <v>9400</v>
      </c>
    </row>
    <row r="304" spans="1:9" x14ac:dyDescent="0.35">
      <c r="A304" s="1">
        <f t="shared" si="53"/>
        <v>2020</v>
      </c>
      <c r="B304" s="1" t="str">
        <f t="shared" si="54"/>
        <v>SET</v>
      </c>
      <c r="C304" s="13">
        <v>44084</v>
      </c>
      <c r="D304" t="s">
        <v>22</v>
      </c>
      <c r="E304" t="s">
        <v>26</v>
      </c>
      <c r="F304" t="s">
        <v>9</v>
      </c>
      <c r="G304" t="s">
        <v>30</v>
      </c>
      <c r="H304" s="7">
        <v>1543</v>
      </c>
      <c r="I304" s="23">
        <f>SUM(H304*VLOOKUP(G304,Tabela1[],2,FALSE))</f>
        <v>7715</v>
      </c>
    </row>
    <row r="305" spans="1:9" x14ac:dyDescent="0.35">
      <c r="A305" s="1">
        <f t="shared" si="53"/>
        <v>2020</v>
      </c>
      <c r="B305" s="1" t="str">
        <f t="shared" si="54"/>
        <v>MAR</v>
      </c>
      <c r="C305" s="13">
        <v>43899</v>
      </c>
      <c r="D305" t="s">
        <v>20</v>
      </c>
      <c r="E305" t="s">
        <v>48</v>
      </c>
      <c r="F305" t="s">
        <v>12</v>
      </c>
      <c r="G305" t="s">
        <v>30</v>
      </c>
      <c r="H305" s="7">
        <v>1308</v>
      </c>
      <c r="I305" s="23">
        <f>SUM(H305*VLOOKUP(G305,Tabela1[],2,FALSE))</f>
        <v>6540</v>
      </c>
    </row>
    <row r="306" spans="1:9" x14ac:dyDescent="0.35">
      <c r="A306" s="1">
        <f t="shared" si="53"/>
        <v>2020</v>
      </c>
      <c r="B306" s="1" t="str">
        <f t="shared" si="54"/>
        <v>JUN</v>
      </c>
      <c r="C306" s="13">
        <v>43992</v>
      </c>
      <c r="D306" t="s">
        <v>20</v>
      </c>
      <c r="E306" t="s">
        <v>46</v>
      </c>
      <c r="F306" t="s">
        <v>12</v>
      </c>
      <c r="G306" t="s">
        <v>30</v>
      </c>
      <c r="H306" s="7">
        <v>3013</v>
      </c>
      <c r="I306" s="23">
        <f>SUM(H306*VLOOKUP(G306,Tabela1[],2,FALSE))</f>
        <v>15065</v>
      </c>
    </row>
    <row r="307" spans="1:9" x14ac:dyDescent="0.35">
      <c r="A307" s="1">
        <f t="shared" si="53"/>
        <v>2020</v>
      </c>
      <c r="B307" s="1" t="str">
        <f t="shared" si="54"/>
        <v>DEZ</v>
      </c>
      <c r="C307" s="13">
        <v>44170</v>
      </c>
      <c r="D307" s="19" t="s">
        <v>21</v>
      </c>
      <c r="E307" t="s">
        <v>26</v>
      </c>
      <c r="F307" t="s">
        <v>10</v>
      </c>
      <c r="G307" t="s">
        <v>27</v>
      </c>
      <c r="H307" s="15">
        <v>1778</v>
      </c>
      <c r="I307" s="20">
        <f>SUM(H307*VLOOKUP(G307,Tabela1[],2,FALSE))</f>
        <v>88900</v>
      </c>
    </row>
    <row r="308" spans="1:9" x14ac:dyDescent="0.35">
      <c r="A308" s="1">
        <f t="shared" si="53"/>
        <v>2020</v>
      </c>
      <c r="B308" s="1" t="str">
        <f t="shared" si="54"/>
        <v>DEZ</v>
      </c>
      <c r="C308" s="13">
        <v>44193</v>
      </c>
      <c r="D308" s="14" t="s">
        <v>21</v>
      </c>
      <c r="E308" t="s">
        <v>24</v>
      </c>
      <c r="F308" t="s">
        <v>11</v>
      </c>
      <c r="G308" t="s">
        <v>27</v>
      </c>
      <c r="H308" s="15">
        <v>4471</v>
      </c>
      <c r="I308" s="16">
        <f>SUM(H308*VLOOKUP(G308,Tabela1[],2,FALSE))</f>
        <v>223550</v>
      </c>
    </row>
    <row r="309" spans="1:9" x14ac:dyDescent="0.35">
      <c r="A309" s="1">
        <f t="shared" si="53"/>
        <v>2020</v>
      </c>
      <c r="B309" s="1" t="str">
        <f t="shared" si="54"/>
        <v>OUT</v>
      </c>
      <c r="C309" s="13">
        <v>44112</v>
      </c>
      <c r="D309" s="14" t="s">
        <v>21</v>
      </c>
      <c r="E309" t="s">
        <v>45</v>
      </c>
      <c r="F309" t="s">
        <v>14</v>
      </c>
      <c r="G309" t="s">
        <v>28</v>
      </c>
      <c r="H309" s="15">
        <v>2178</v>
      </c>
      <c r="I309" s="16">
        <f>SUM(H309*VLOOKUP(G309,Tabela1[],2,FALSE))</f>
        <v>108900</v>
      </c>
    </row>
    <row r="310" spans="1:9" x14ac:dyDescent="0.35">
      <c r="A310" s="1">
        <f t="shared" si="53"/>
        <v>2020</v>
      </c>
      <c r="B310" s="1" t="str">
        <f t="shared" si="54"/>
        <v>NOV</v>
      </c>
      <c r="C310" s="13">
        <v>44141</v>
      </c>
      <c r="D310" s="14" t="s">
        <v>21</v>
      </c>
      <c r="E310" t="s">
        <v>49</v>
      </c>
      <c r="F310" t="s">
        <v>10</v>
      </c>
      <c r="G310" t="s">
        <v>31</v>
      </c>
      <c r="H310" s="15">
        <v>2446</v>
      </c>
      <c r="I310" s="16">
        <f>SUM(H310*VLOOKUP(G310,Tabela1[],2,FALSE))</f>
        <v>122300</v>
      </c>
    </row>
    <row r="311" spans="1:9" x14ac:dyDescent="0.35">
      <c r="A311" s="1">
        <f t="shared" si="53"/>
        <v>2020</v>
      </c>
      <c r="B311" s="1" t="str">
        <f t="shared" si="54"/>
        <v>MAI</v>
      </c>
      <c r="C311" s="13">
        <v>43976</v>
      </c>
      <c r="D311" t="s">
        <v>20</v>
      </c>
      <c r="E311" t="s">
        <v>26</v>
      </c>
      <c r="F311" t="s">
        <v>10</v>
      </c>
      <c r="G311" t="s">
        <v>31</v>
      </c>
      <c r="H311" s="15">
        <v>1500</v>
      </c>
      <c r="I311" s="20">
        <f>SUM(H311*VLOOKUP(G311,Tabela1[],2,FALSE))</f>
        <v>75000</v>
      </c>
    </row>
    <row r="312" spans="1:9" x14ac:dyDescent="0.35">
      <c r="A312" s="1">
        <f t="shared" si="53"/>
        <v>2020</v>
      </c>
      <c r="B312" s="1" t="str">
        <f t="shared" si="54"/>
        <v>MAR</v>
      </c>
      <c r="C312" s="13">
        <v>43915</v>
      </c>
      <c r="D312" t="s">
        <v>21</v>
      </c>
      <c r="E312" t="s">
        <v>24</v>
      </c>
      <c r="F312" t="s">
        <v>11</v>
      </c>
      <c r="G312" t="s">
        <v>28</v>
      </c>
      <c r="H312" s="15">
        <v>2636</v>
      </c>
      <c r="I312" s="20">
        <f>SUM(H312*VLOOKUP(G312,Tabela1[],2,FALSE))</f>
        <v>131800</v>
      </c>
    </row>
    <row r="313" spans="1:9" x14ac:dyDescent="0.35">
      <c r="A313" s="1">
        <f t="shared" si="53"/>
        <v>2020</v>
      </c>
      <c r="B313" s="1" t="str">
        <f t="shared" si="54"/>
        <v>JAN</v>
      </c>
      <c r="C313" s="13">
        <v>43847</v>
      </c>
      <c r="D313" t="s">
        <v>22</v>
      </c>
      <c r="E313" t="s">
        <v>49</v>
      </c>
      <c r="F313" t="s">
        <v>9</v>
      </c>
      <c r="G313" t="s">
        <v>27</v>
      </c>
      <c r="H313" s="15">
        <v>4650</v>
      </c>
      <c r="I313" s="16">
        <f>SUM(H313*VLOOKUP(G313,Tabela1[],2,FALSE))</f>
        <v>232500</v>
      </c>
    </row>
    <row r="314" spans="1:9" x14ac:dyDescent="0.35">
      <c r="A314" s="1">
        <f t="shared" si="53"/>
        <v>2020</v>
      </c>
      <c r="B314" s="1" t="str">
        <f t="shared" si="54"/>
        <v>JUL</v>
      </c>
      <c r="C314" s="13">
        <v>44041</v>
      </c>
      <c r="D314" t="s">
        <v>20</v>
      </c>
      <c r="E314" t="s">
        <v>23</v>
      </c>
      <c r="F314" t="s">
        <v>10</v>
      </c>
      <c r="G314" t="s">
        <v>28</v>
      </c>
      <c r="H314" s="15">
        <v>614</v>
      </c>
      <c r="I314" s="16">
        <f>SUM(H314*VLOOKUP(G314,Tabela1[],2,FALSE))</f>
        <v>30700</v>
      </c>
    </row>
    <row r="315" spans="1:9" x14ac:dyDescent="0.35">
      <c r="A315" s="1">
        <f t="shared" si="53"/>
        <v>2020</v>
      </c>
      <c r="B315" s="1" t="str">
        <f t="shared" si="54"/>
        <v>AGO</v>
      </c>
      <c r="C315" s="13">
        <v>44071</v>
      </c>
      <c r="D315" t="s">
        <v>20</v>
      </c>
      <c r="E315" t="s">
        <v>26</v>
      </c>
      <c r="F315" t="s">
        <v>10</v>
      </c>
      <c r="G315" t="s">
        <v>31</v>
      </c>
      <c r="H315" s="15">
        <v>2000</v>
      </c>
      <c r="I315" s="16">
        <f>SUM(H315*VLOOKUP(G315,Tabela1[],2,FALSE))</f>
        <v>100000</v>
      </c>
    </row>
    <row r="316" spans="1:9" x14ac:dyDescent="0.35">
      <c r="A316" s="1">
        <f t="shared" si="53"/>
        <v>2020</v>
      </c>
      <c r="B316" s="1" t="str">
        <f t="shared" si="54"/>
        <v>AGO</v>
      </c>
      <c r="C316" s="13">
        <v>44050</v>
      </c>
      <c r="D316" t="s">
        <v>20</v>
      </c>
      <c r="E316" t="s">
        <v>24</v>
      </c>
      <c r="F316" t="s">
        <v>11</v>
      </c>
      <c r="G316" t="s">
        <v>31</v>
      </c>
      <c r="H316" s="15">
        <v>1200</v>
      </c>
      <c r="I316" s="20">
        <f>SUM(H316*VLOOKUP(G316,Tabela1[],2,FALSE))</f>
        <v>60000</v>
      </c>
    </row>
    <row r="317" spans="1:9" x14ac:dyDescent="0.35">
      <c r="A317" s="1">
        <f t="shared" si="53"/>
        <v>2020</v>
      </c>
      <c r="B317" s="1" t="str">
        <f t="shared" si="54"/>
        <v>NOV</v>
      </c>
      <c r="C317" s="13">
        <v>44150</v>
      </c>
      <c r="D317" t="s">
        <v>20</v>
      </c>
      <c r="E317" t="s">
        <v>46</v>
      </c>
      <c r="F317" t="s">
        <v>9</v>
      </c>
      <c r="G317" t="s">
        <v>31</v>
      </c>
      <c r="H317" s="15">
        <v>1200</v>
      </c>
      <c r="I317" s="20">
        <f>SUM(H317*VLOOKUP(G317,Tabela1[],2,FALSE))</f>
        <v>60000</v>
      </c>
    </row>
    <row r="318" spans="1:9" x14ac:dyDescent="0.35">
      <c r="A318" s="1">
        <f t="shared" si="53"/>
        <v>2020</v>
      </c>
      <c r="B318" s="1" t="str">
        <f t="shared" si="54"/>
        <v>OUT</v>
      </c>
      <c r="C318" s="13">
        <v>44114</v>
      </c>
      <c r="D318" t="s">
        <v>21</v>
      </c>
      <c r="E318" t="s">
        <v>48</v>
      </c>
      <c r="F318" t="s">
        <v>9</v>
      </c>
      <c r="G318" t="s">
        <v>27</v>
      </c>
      <c r="H318" s="15">
        <v>4355</v>
      </c>
      <c r="I318" s="16">
        <f>SUM(H318*VLOOKUP(G318,Tabela1[],2,FALSE))</f>
        <v>217750</v>
      </c>
    </row>
    <row r="319" spans="1:9" x14ac:dyDescent="0.35">
      <c r="A319" s="1">
        <f t="shared" si="53"/>
        <v>2020</v>
      </c>
      <c r="B319" s="1" t="str">
        <f t="shared" si="54"/>
        <v>JAN</v>
      </c>
      <c r="C319" s="13">
        <v>43841</v>
      </c>
      <c r="D319" t="s">
        <v>21</v>
      </c>
      <c r="E319" t="s">
        <v>26</v>
      </c>
      <c r="F319" t="s">
        <v>12</v>
      </c>
      <c r="G319" t="s">
        <v>29</v>
      </c>
      <c r="H319" s="15">
        <v>4531</v>
      </c>
      <c r="I319" s="16">
        <f>SUM(H319*VLOOKUP(G319,Tabela1[],2,FALSE))</f>
        <v>271860</v>
      </c>
    </row>
    <row r="320" spans="1:9" x14ac:dyDescent="0.35">
      <c r="A320" s="1">
        <f t="shared" si="53"/>
        <v>2020</v>
      </c>
      <c r="B320" s="1" t="str">
        <f t="shared" si="54"/>
        <v>MAR</v>
      </c>
      <c r="C320" s="13">
        <v>43894</v>
      </c>
      <c r="D320" t="s">
        <v>21</v>
      </c>
      <c r="E320" t="s">
        <v>47</v>
      </c>
      <c r="F320" t="s">
        <v>12</v>
      </c>
      <c r="G320" t="s">
        <v>29</v>
      </c>
      <c r="H320" s="15">
        <v>3102</v>
      </c>
      <c r="I320" s="16">
        <f>SUM(H320*VLOOKUP(G320,Tabela1[],2,FALSE))</f>
        <v>186120</v>
      </c>
    </row>
    <row r="321" spans="1:9" x14ac:dyDescent="0.35">
      <c r="A321" s="1">
        <f t="shared" si="53"/>
        <v>2020</v>
      </c>
      <c r="B321" s="1" t="str">
        <f t="shared" si="54"/>
        <v>FEV</v>
      </c>
      <c r="C321" s="13">
        <v>43876</v>
      </c>
      <c r="D321" t="s">
        <v>21</v>
      </c>
      <c r="E321" t="s">
        <v>25</v>
      </c>
      <c r="F321" t="s">
        <v>14</v>
      </c>
      <c r="G321" t="s">
        <v>31</v>
      </c>
      <c r="H321" s="15">
        <v>1800</v>
      </c>
      <c r="I321" s="20">
        <f>SUM(H321*VLOOKUP(G321,Tabela1[],2,FALSE))</f>
        <v>90000</v>
      </c>
    </row>
    <row r="322" spans="1:9" x14ac:dyDescent="0.35">
      <c r="A322" s="1">
        <f t="shared" si="53"/>
        <v>2020</v>
      </c>
      <c r="B322" s="1" t="str">
        <f t="shared" si="54"/>
        <v>JUL</v>
      </c>
      <c r="C322" s="13">
        <v>44020</v>
      </c>
      <c r="D322" t="s">
        <v>20</v>
      </c>
      <c r="E322" t="s">
        <v>50</v>
      </c>
      <c r="F322" t="s">
        <v>9</v>
      </c>
      <c r="G322" t="s">
        <v>27</v>
      </c>
      <c r="H322" s="15">
        <v>1516</v>
      </c>
      <c r="I322" s="23">
        <f>SUM(H322*VLOOKUP(G322,Tabela1[],2,FALSE))</f>
        <v>75800</v>
      </c>
    </row>
    <row r="323" spans="1:9" x14ac:dyDescent="0.35">
      <c r="A323" s="1">
        <f t="shared" si="53"/>
        <v>2020</v>
      </c>
      <c r="B323" s="1" t="str">
        <f t="shared" si="54"/>
        <v>OUT</v>
      </c>
      <c r="C323" s="24">
        <v>44114</v>
      </c>
      <c r="D323" t="s">
        <v>21</v>
      </c>
      <c r="E323" t="s">
        <v>50</v>
      </c>
      <c r="F323" t="s">
        <v>10</v>
      </c>
      <c r="G323" t="s">
        <v>27</v>
      </c>
      <c r="H323" s="15">
        <v>1289</v>
      </c>
      <c r="I323" s="23">
        <f>SUM(H323*VLOOKUP(G323,Tabela1[],2,FALSE))</f>
        <v>64450</v>
      </c>
    </row>
    <row r="324" spans="1:9" x14ac:dyDescent="0.35">
      <c r="A324" s="1">
        <f t="shared" si="53"/>
        <v>2020</v>
      </c>
      <c r="B324" s="1" t="str">
        <f t="shared" si="54"/>
        <v>AGO</v>
      </c>
      <c r="C324" s="13">
        <v>44057</v>
      </c>
      <c r="D324" t="s">
        <v>22</v>
      </c>
      <c r="E324" t="s">
        <v>45</v>
      </c>
      <c r="F324" t="s">
        <v>11</v>
      </c>
      <c r="G324" t="s">
        <v>27</v>
      </c>
      <c r="H324" s="7">
        <v>1697</v>
      </c>
      <c r="I324" s="23">
        <f>SUM(H324*VLOOKUP(G324,Tabela1[],2,FALSE))</f>
        <v>84850</v>
      </c>
    </row>
    <row r="325" spans="1:9" x14ac:dyDescent="0.35">
      <c r="A325" s="1">
        <f t="shared" si="53"/>
        <v>2020</v>
      </c>
      <c r="B325" s="1" t="str">
        <f t="shared" si="54"/>
        <v>OUT</v>
      </c>
      <c r="C325" s="13">
        <v>44106</v>
      </c>
      <c r="D325" t="s">
        <v>20</v>
      </c>
      <c r="E325" t="s">
        <v>24</v>
      </c>
      <c r="F325" t="s">
        <v>14</v>
      </c>
      <c r="G325" t="s">
        <v>28</v>
      </c>
      <c r="H325" s="7">
        <v>3215</v>
      </c>
      <c r="I325" s="23">
        <f>SUM(H325*VLOOKUP(G325,Tabela1[],2,FALSE))</f>
        <v>160750</v>
      </c>
    </row>
    <row r="326" spans="1:9" x14ac:dyDescent="0.35">
      <c r="A326" s="1">
        <f t="shared" si="53"/>
        <v>2020</v>
      </c>
      <c r="B326" s="1" t="str">
        <f t="shared" si="54"/>
        <v>OUT</v>
      </c>
      <c r="C326" s="13">
        <v>44121</v>
      </c>
      <c r="D326" t="s">
        <v>20</v>
      </c>
      <c r="E326" t="s">
        <v>45</v>
      </c>
      <c r="F326" t="s">
        <v>10</v>
      </c>
      <c r="G326" t="s">
        <v>31</v>
      </c>
      <c r="H326" s="7">
        <v>1000</v>
      </c>
      <c r="I326" s="23">
        <f>SUM(H326*VLOOKUP(G326,Tabela1[],2,FALSE))</f>
        <v>50000</v>
      </c>
    </row>
    <row r="327" spans="1:9" x14ac:dyDescent="0.35">
      <c r="A327" s="1">
        <f t="shared" si="53"/>
        <v>2020</v>
      </c>
      <c r="B327" s="1" t="str">
        <f t="shared" si="54"/>
        <v>NOV</v>
      </c>
      <c r="C327" s="13">
        <v>44159</v>
      </c>
      <c r="D327" t="s">
        <v>20</v>
      </c>
      <c r="E327" t="s">
        <v>23</v>
      </c>
      <c r="F327" t="s">
        <v>10</v>
      </c>
      <c r="G327" t="s">
        <v>30</v>
      </c>
      <c r="H327" s="7">
        <v>4489</v>
      </c>
      <c r="I327" s="23">
        <f>SUM(H327*VLOOKUP(G327,Tabela1[],2,FALSE))</f>
        <v>22445</v>
      </c>
    </row>
    <row r="328" spans="1:9" x14ac:dyDescent="0.35">
      <c r="A328" s="1">
        <f t="shared" si="53"/>
        <v>2020</v>
      </c>
      <c r="B328" s="1" t="str">
        <f t="shared" si="54"/>
        <v>MAR</v>
      </c>
      <c r="C328" s="13">
        <v>43915</v>
      </c>
      <c r="D328" t="s">
        <v>21</v>
      </c>
      <c r="E328" t="s">
        <v>26</v>
      </c>
      <c r="F328" t="s">
        <v>11</v>
      </c>
      <c r="G328" t="s">
        <v>30</v>
      </c>
      <c r="H328" s="7">
        <v>4489</v>
      </c>
      <c r="I328" s="23">
        <f>SUM(H328*VLOOKUP(G328,Tabela1[],2,FALSE))</f>
        <v>22445</v>
      </c>
    </row>
    <row r="329" spans="1:9" x14ac:dyDescent="0.35">
      <c r="A329" s="1">
        <f t="shared" si="53"/>
        <v>2020</v>
      </c>
      <c r="B329" s="1" t="str">
        <f t="shared" si="54"/>
        <v>ABR</v>
      </c>
      <c r="C329" s="13">
        <v>43946</v>
      </c>
      <c r="D329" t="s">
        <v>22</v>
      </c>
      <c r="E329" t="s">
        <v>26</v>
      </c>
      <c r="F329" t="s">
        <v>9</v>
      </c>
      <c r="G329" t="s">
        <v>30</v>
      </c>
      <c r="H329" s="7">
        <v>3778</v>
      </c>
      <c r="I329" s="23">
        <f>SUM(H329*VLOOKUP(G329,Tabela1[],2,FALSE))</f>
        <v>18890</v>
      </c>
    </row>
    <row r="330" spans="1:9" x14ac:dyDescent="0.35">
      <c r="A330" s="1">
        <f t="shared" si="53"/>
        <v>2020</v>
      </c>
      <c r="B330" s="1" t="str">
        <f t="shared" si="54"/>
        <v>MAR</v>
      </c>
      <c r="C330" s="13">
        <v>43897</v>
      </c>
      <c r="D330" t="s">
        <v>20</v>
      </c>
      <c r="E330" t="s">
        <v>48</v>
      </c>
      <c r="F330" t="s">
        <v>12</v>
      </c>
      <c r="G330" t="s">
        <v>30</v>
      </c>
      <c r="H330" s="7">
        <v>1007</v>
      </c>
      <c r="I330" s="23">
        <f>SUM(H330*VLOOKUP(G330,Tabela1[],2,FALSE))</f>
        <v>5035</v>
      </c>
    </row>
    <row r="331" spans="1:9" x14ac:dyDescent="0.35">
      <c r="A331" s="1">
        <f t="shared" si="53"/>
        <v>2020</v>
      </c>
      <c r="B331" s="1" t="str">
        <f t="shared" si="54"/>
        <v>FEV</v>
      </c>
      <c r="C331" s="28">
        <v>43869</v>
      </c>
      <c r="D331" s="29" t="s">
        <v>20</v>
      </c>
      <c r="E331" s="29" t="s">
        <v>46</v>
      </c>
      <c r="F331" s="29" t="s">
        <v>12</v>
      </c>
      <c r="G331" s="29" t="s">
        <v>30</v>
      </c>
      <c r="H331" s="30">
        <v>4536</v>
      </c>
      <c r="I331" s="23">
        <f>SUM(H331*VLOOKUP(G331,Tabela1[],2,FALSE))</f>
        <v>22680</v>
      </c>
    </row>
    <row r="332" spans="1:9" x14ac:dyDescent="0.35">
      <c r="A332" s="27">
        <f t="shared" ref="A332:A362" si="55">YEAR(C332)</f>
        <v>2020</v>
      </c>
      <c r="B332" s="27" t="str">
        <f t="shared" ref="B332:B362" si="56">UPPER(TEXT(C332,"mmm"))</f>
        <v>JUN</v>
      </c>
      <c r="C332" s="28">
        <v>44007</v>
      </c>
      <c r="D332" s="29" t="s">
        <v>21</v>
      </c>
      <c r="E332" s="29" t="s">
        <v>26</v>
      </c>
      <c r="F332" s="29" t="s">
        <v>9</v>
      </c>
      <c r="G332" s="29" t="s">
        <v>30</v>
      </c>
      <c r="H332" s="30">
        <v>3778</v>
      </c>
      <c r="I332" s="23">
        <f>SUM(H332*VLOOKUP(G332,Tabela1[],2,FALSE))</f>
        <v>18890</v>
      </c>
    </row>
    <row r="333" spans="1:9" x14ac:dyDescent="0.35">
      <c r="A333" s="27">
        <f t="shared" si="55"/>
        <v>2020</v>
      </c>
      <c r="B333" s="27" t="str">
        <f t="shared" si="56"/>
        <v>OUT</v>
      </c>
      <c r="C333" s="28">
        <v>44114</v>
      </c>
      <c r="D333" s="29" t="s">
        <v>22</v>
      </c>
      <c r="E333" s="29" t="s">
        <v>26</v>
      </c>
      <c r="F333" s="29" t="s">
        <v>9</v>
      </c>
      <c r="G333" s="29" t="s">
        <v>30</v>
      </c>
      <c r="H333" s="30">
        <v>1543</v>
      </c>
      <c r="I333" s="23">
        <f>SUM(H333*VLOOKUP(G333,Tabela1[],2,FALSE))</f>
        <v>7715</v>
      </c>
    </row>
    <row r="334" spans="1:9" x14ac:dyDescent="0.35">
      <c r="A334" s="1">
        <f t="shared" si="55"/>
        <v>2020</v>
      </c>
      <c r="B334" s="1" t="str">
        <f t="shared" si="56"/>
        <v>MAI</v>
      </c>
      <c r="C334" s="13">
        <v>43967</v>
      </c>
      <c r="D334" t="s">
        <v>21</v>
      </c>
      <c r="E334" t="s">
        <v>26</v>
      </c>
      <c r="F334" t="s">
        <v>11</v>
      </c>
      <c r="G334" t="s">
        <v>30</v>
      </c>
      <c r="H334" s="7">
        <v>1880</v>
      </c>
      <c r="I334" s="23">
        <f>SUM(H334*VLOOKUP(G334,Tabela1[],2,FALSE))</f>
        <v>9400</v>
      </c>
    </row>
    <row r="335" spans="1:9" x14ac:dyDescent="0.35">
      <c r="A335" s="1">
        <f t="shared" si="55"/>
        <v>2020</v>
      </c>
      <c r="B335" s="1" t="str">
        <f t="shared" si="56"/>
        <v>SET</v>
      </c>
      <c r="C335" s="13">
        <v>44084</v>
      </c>
      <c r="D335" t="s">
        <v>22</v>
      </c>
      <c r="E335" t="s">
        <v>26</v>
      </c>
      <c r="F335" t="s">
        <v>9</v>
      </c>
      <c r="G335" t="s">
        <v>30</v>
      </c>
      <c r="H335" s="7">
        <v>1543</v>
      </c>
      <c r="I335" s="23">
        <f>SUM(H335*VLOOKUP(G335,Tabela1[],2,FALSE))</f>
        <v>7715</v>
      </c>
    </row>
    <row r="336" spans="1:9" x14ac:dyDescent="0.35">
      <c r="A336" s="1">
        <f t="shared" si="55"/>
        <v>2020</v>
      </c>
      <c r="B336" s="1" t="str">
        <f t="shared" si="56"/>
        <v>MAR</v>
      </c>
      <c r="C336" s="13">
        <v>43899</v>
      </c>
      <c r="D336" t="s">
        <v>20</v>
      </c>
      <c r="E336" t="s">
        <v>48</v>
      </c>
      <c r="F336" t="s">
        <v>12</v>
      </c>
      <c r="G336" t="s">
        <v>30</v>
      </c>
      <c r="H336" s="7">
        <v>1308</v>
      </c>
      <c r="I336" s="23">
        <f>SUM(H336*VLOOKUP(G336,Tabela1[],2,FALSE))</f>
        <v>6540</v>
      </c>
    </row>
    <row r="337" spans="1:9" x14ac:dyDescent="0.35">
      <c r="A337" s="1">
        <f t="shared" si="55"/>
        <v>2020</v>
      </c>
      <c r="B337" s="1" t="str">
        <f t="shared" si="56"/>
        <v>JUN</v>
      </c>
      <c r="C337" s="13">
        <v>43992</v>
      </c>
      <c r="D337" t="s">
        <v>20</v>
      </c>
      <c r="E337" t="s">
        <v>46</v>
      </c>
      <c r="F337" t="s">
        <v>12</v>
      </c>
      <c r="G337" t="s">
        <v>30</v>
      </c>
      <c r="H337" s="7">
        <v>3013</v>
      </c>
      <c r="I337" s="23">
        <f>SUM(H337*VLOOKUP(G337,Tabela1[],2,FALSE))</f>
        <v>15065</v>
      </c>
    </row>
    <row r="338" spans="1:9" x14ac:dyDescent="0.35">
      <c r="A338" s="1">
        <f t="shared" si="55"/>
        <v>2020</v>
      </c>
      <c r="B338" s="1" t="str">
        <f t="shared" si="56"/>
        <v>DEZ</v>
      </c>
      <c r="C338" s="13">
        <v>44170</v>
      </c>
      <c r="D338" s="19" t="s">
        <v>21</v>
      </c>
      <c r="E338" t="s">
        <v>26</v>
      </c>
      <c r="F338" t="s">
        <v>10</v>
      </c>
      <c r="G338" t="s">
        <v>27</v>
      </c>
      <c r="H338" s="15">
        <v>1778</v>
      </c>
      <c r="I338" s="20">
        <f>SUM(H338*VLOOKUP(G338,Tabela1[],2,FALSE))</f>
        <v>88900</v>
      </c>
    </row>
    <row r="339" spans="1:9" x14ac:dyDescent="0.35">
      <c r="A339" s="1">
        <f t="shared" si="55"/>
        <v>2020</v>
      </c>
      <c r="B339" s="1" t="str">
        <f t="shared" si="56"/>
        <v>DEZ</v>
      </c>
      <c r="C339" s="13">
        <v>44193</v>
      </c>
      <c r="D339" s="14" t="s">
        <v>21</v>
      </c>
      <c r="E339" t="s">
        <v>24</v>
      </c>
      <c r="F339" t="s">
        <v>11</v>
      </c>
      <c r="G339" t="s">
        <v>27</v>
      </c>
      <c r="H339" s="15">
        <v>4471</v>
      </c>
      <c r="I339" s="16">
        <f>SUM(H339*VLOOKUP(G339,Tabela1[],2,FALSE))</f>
        <v>223550</v>
      </c>
    </row>
    <row r="340" spans="1:9" x14ac:dyDescent="0.35">
      <c r="A340" s="1">
        <f t="shared" si="55"/>
        <v>2020</v>
      </c>
      <c r="B340" s="1" t="str">
        <f t="shared" si="56"/>
        <v>OUT</v>
      </c>
      <c r="C340" s="13">
        <v>44112</v>
      </c>
      <c r="D340" s="14" t="s">
        <v>21</v>
      </c>
      <c r="E340" t="s">
        <v>45</v>
      </c>
      <c r="F340" t="s">
        <v>14</v>
      </c>
      <c r="G340" t="s">
        <v>28</v>
      </c>
      <c r="H340" s="15">
        <v>2178</v>
      </c>
      <c r="I340" s="16">
        <f>SUM(H340*VLOOKUP(G340,Tabela1[],2,FALSE))</f>
        <v>108900</v>
      </c>
    </row>
    <row r="341" spans="1:9" x14ac:dyDescent="0.35">
      <c r="A341" s="1">
        <f t="shared" si="55"/>
        <v>2020</v>
      </c>
      <c r="B341" s="1" t="str">
        <f t="shared" si="56"/>
        <v>NOV</v>
      </c>
      <c r="C341" s="13">
        <v>44141</v>
      </c>
      <c r="D341" s="14" t="s">
        <v>21</v>
      </c>
      <c r="E341" t="s">
        <v>49</v>
      </c>
      <c r="F341" t="s">
        <v>10</v>
      </c>
      <c r="G341" t="s">
        <v>31</v>
      </c>
      <c r="H341" s="15">
        <v>2446</v>
      </c>
      <c r="I341" s="16">
        <f>SUM(H341*VLOOKUP(G341,Tabela1[],2,FALSE))</f>
        <v>122300</v>
      </c>
    </row>
    <row r="342" spans="1:9" x14ac:dyDescent="0.35">
      <c r="A342" s="1">
        <f t="shared" si="55"/>
        <v>2020</v>
      </c>
      <c r="B342" s="1" t="str">
        <f t="shared" si="56"/>
        <v>MAI</v>
      </c>
      <c r="C342" s="13">
        <v>43976</v>
      </c>
      <c r="D342" t="s">
        <v>20</v>
      </c>
      <c r="E342" t="s">
        <v>26</v>
      </c>
      <c r="F342" t="s">
        <v>10</v>
      </c>
      <c r="G342" t="s">
        <v>31</v>
      </c>
      <c r="H342" s="15">
        <v>1500</v>
      </c>
      <c r="I342" s="20">
        <f>SUM(H342*VLOOKUP(G342,Tabela1[],2,FALSE))</f>
        <v>75000</v>
      </c>
    </row>
    <row r="343" spans="1:9" x14ac:dyDescent="0.35">
      <c r="A343" s="1">
        <f t="shared" si="55"/>
        <v>2020</v>
      </c>
      <c r="B343" s="1" t="str">
        <f t="shared" si="56"/>
        <v>MAR</v>
      </c>
      <c r="C343" s="13">
        <v>43915</v>
      </c>
      <c r="D343" t="s">
        <v>21</v>
      </c>
      <c r="E343" t="s">
        <v>24</v>
      </c>
      <c r="F343" t="s">
        <v>11</v>
      </c>
      <c r="G343" t="s">
        <v>28</v>
      </c>
      <c r="H343" s="15">
        <v>2636</v>
      </c>
      <c r="I343" s="20">
        <f>SUM(H343*VLOOKUP(G343,Tabela1[],2,FALSE))</f>
        <v>131800</v>
      </c>
    </row>
    <row r="344" spans="1:9" x14ac:dyDescent="0.35">
      <c r="A344" s="1">
        <f t="shared" si="55"/>
        <v>2020</v>
      </c>
      <c r="B344" s="1" t="str">
        <f t="shared" si="56"/>
        <v>JAN</v>
      </c>
      <c r="C344" s="13">
        <v>43847</v>
      </c>
      <c r="D344" t="s">
        <v>22</v>
      </c>
      <c r="E344" t="s">
        <v>49</v>
      </c>
      <c r="F344" t="s">
        <v>9</v>
      </c>
      <c r="G344" t="s">
        <v>27</v>
      </c>
      <c r="H344" s="15">
        <v>4650</v>
      </c>
      <c r="I344" s="16">
        <f>SUM(H344*VLOOKUP(G344,Tabela1[],2,FALSE))</f>
        <v>232500</v>
      </c>
    </row>
    <row r="345" spans="1:9" x14ac:dyDescent="0.35">
      <c r="A345" s="1">
        <f t="shared" si="55"/>
        <v>2020</v>
      </c>
      <c r="B345" s="1" t="str">
        <f t="shared" si="56"/>
        <v>JUL</v>
      </c>
      <c r="C345" s="13">
        <v>44041</v>
      </c>
      <c r="D345" t="s">
        <v>20</v>
      </c>
      <c r="E345" t="s">
        <v>23</v>
      </c>
      <c r="F345" t="s">
        <v>10</v>
      </c>
      <c r="G345" t="s">
        <v>28</v>
      </c>
      <c r="H345" s="15">
        <v>614</v>
      </c>
      <c r="I345" s="16">
        <f>SUM(H345*VLOOKUP(G345,Tabela1[],2,FALSE))</f>
        <v>30700</v>
      </c>
    </row>
    <row r="346" spans="1:9" x14ac:dyDescent="0.35">
      <c r="A346" s="1">
        <f t="shared" si="55"/>
        <v>2020</v>
      </c>
      <c r="B346" s="1" t="str">
        <f t="shared" si="56"/>
        <v>AGO</v>
      </c>
      <c r="C346" s="13">
        <v>44071</v>
      </c>
      <c r="D346" t="s">
        <v>20</v>
      </c>
      <c r="E346" t="s">
        <v>26</v>
      </c>
      <c r="F346" t="s">
        <v>10</v>
      </c>
      <c r="G346" t="s">
        <v>31</v>
      </c>
      <c r="H346" s="15">
        <v>2000</v>
      </c>
      <c r="I346" s="16">
        <f>SUM(H346*VLOOKUP(G346,Tabela1[],2,FALSE))</f>
        <v>100000</v>
      </c>
    </row>
    <row r="347" spans="1:9" x14ac:dyDescent="0.35">
      <c r="A347" s="1">
        <f t="shared" si="55"/>
        <v>2020</v>
      </c>
      <c r="B347" s="1" t="str">
        <f t="shared" si="56"/>
        <v>AGO</v>
      </c>
      <c r="C347" s="13">
        <v>44050</v>
      </c>
      <c r="D347" t="s">
        <v>20</v>
      </c>
      <c r="E347" t="s">
        <v>24</v>
      </c>
      <c r="F347" t="s">
        <v>11</v>
      </c>
      <c r="G347" t="s">
        <v>31</v>
      </c>
      <c r="H347" s="15">
        <v>1200</v>
      </c>
      <c r="I347" s="20">
        <f>SUM(H347*VLOOKUP(G347,Tabela1[],2,FALSE))</f>
        <v>60000</v>
      </c>
    </row>
    <row r="348" spans="1:9" x14ac:dyDescent="0.35">
      <c r="A348" s="1">
        <f t="shared" si="55"/>
        <v>2020</v>
      </c>
      <c r="B348" s="1" t="str">
        <f t="shared" si="56"/>
        <v>NOV</v>
      </c>
      <c r="C348" s="13">
        <v>44150</v>
      </c>
      <c r="D348" t="s">
        <v>20</v>
      </c>
      <c r="E348" t="s">
        <v>46</v>
      </c>
      <c r="F348" t="s">
        <v>9</v>
      </c>
      <c r="G348" t="s">
        <v>31</v>
      </c>
      <c r="H348" s="15">
        <v>1200</v>
      </c>
      <c r="I348" s="20">
        <f>SUM(H348*VLOOKUP(G348,Tabela1[],2,FALSE))</f>
        <v>60000</v>
      </c>
    </row>
    <row r="349" spans="1:9" x14ac:dyDescent="0.35">
      <c r="A349" s="1">
        <f t="shared" si="55"/>
        <v>2020</v>
      </c>
      <c r="B349" s="1" t="str">
        <f t="shared" si="56"/>
        <v>OUT</v>
      </c>
      <c r="C349" s="13">
        <v>44114</v>
      </c>
      <c r="D349" t="s">
        <v>21</v>
      </c>
      <c r="E349" t="s">
        <v>48</v>
      </c>
      <c r="F349" t="s">
        <v>9</v>
      </c>
      <c r="G349" t="s">
        <v>27</v>
      </c>
      <c r="H349" s="15">
        <v>4355</v>
      </c>
      <c r="I349" s="16">
        <f>SUM(H349*VLOOKUP(G349,Tabela1[],2,FALSE))</f>
        <v>217750</v>
      </c>
    </row>
    <row r="350" spans="1:9" x14ac:dyDescent="0.35">
      <c r="A350" s="1">
        <f t="shared" si="55"/>
        <v>2020</v>
      </c>
      <c r="B350" s="1" t="str">
        <f t="shared" si="56"/>
        <v>JAN</v>
      </c>
      <c r="C350" s="13">
        <v>43841</v>
      </c>
      <c r="D350" t="s">
        <v>21</v>
      </c>
      <c r="E350" t="s">
        <v>26</v>
      </c>
      <c r="F350" t="s">
        <v>12</v>
      </c>
      <c r="G350" t="s">
        <v>29</v>
      </c>
      <c r="H350" s="15">
        <v>4531</v>
      </c>
      <c r="I350" s="16">
        <f>SUM(H350*VLOOKUP(G350,Tabela1[],2,FALSE))</f>
        <v>271860</v>
      </c>
    </row>
    <row r="351" spans="1:9" x14ac:dyDescent="0.35">
      <c r="A351" s="1">
        <f t="shared" si="55"/>
        <v>2020</v>
      </c>
      <c r="B351" s="1" t="str">
        <f t="shared" si="56"/>
        <v>MAR</v>
      </c>
      <c r="C351" s="13">
        <v>43894</v>
      </c>
      <c r="D351" t="s">
        <v>21</v>
      </c>
      <c r="E351" t="s">
        <v>47</v>
      </c>
      <c r="F351" t="s">
        <v>12</v>
      </c>
      <c r="G351" t="s">
        <v>29</v>
      </c>
      <c r="H351" s="15">
        <v>3102</v>
      </c>
      <c r="I351" s="16">
        <f>SUM(H351*VLOOKUP(G351,Tabela1[],2,FALSE))</f>
        <v>186120</v>
      </c>
    </row>
    <row r="352" spans="1:9" x14ac:dyDescent="0.35">
      <c r="A352" s="1">
        <f t="shared" si="55"/>
        <v>2020</v>
      </c>
      <c r="B352" s="1" t="str">
        <f t="shared" si="56"/>
        <v>FEV</v>
      </c>
      <c r="C352" s="13">
        <v>43876</v>
      </c>
      <c r="D352" t="s">
        <v>21</v>
      </c>
      <c r="E352" t="s">
        <v>25</v>
      </c>
      <c r="F352" t="s">
        <v>14</v>
      </c>
      <c r="G352" t="s">
        <v>31</v>
      </c>
      <c r="H352" s="15">
        <v>1800</v>
      </c>
      <c r="I352" s="20">
        <f>SUM(H352*VLOOKUP(G352,Tabela1[],2,FALSE))</f>
        <v>90000</v>
      </c>
    </row>
    <row r="353" spans="1:9" x14ac:dyDescent="0.35">
      <c r="A353" s="1">
        <f t="shared" si="55"/>
        <v>2020</v>
      </c>
      <c r="B353" s="1" t="str">
        <f t="shared" si="56"/>
        <v>JUL</v>
      </c>
      <c r="C353" s="13">
        <v>44020</v>
      </c>
      <c r="D353" t="s">
        <v>20</v>
      </c>
      <c r="E353" t="s">
        <v>50</v>
      </c>
      <c r="F353" t="s">
        <v>9</v>
      </c>
      <c r="G353" t="s">
        <v>27</v>
      </c>
      <c r="H353" s="15">
        <v>1516</v>
      </c>
      <c r="I353" s="23">
        <f>SUM(H353*VLOOKUP(G353,Tabela1[],2,FALSE))</f>
        <v>75800</v>
      </c>
    </row>
    <row r="354" spans="1:9" x14ac:dyDescent="0.35">
      <c r="A354" s="1">
        <f t="shared" si="55"/>
        <v>2020</v>
      </c>
      <c r="B354" s="1" t="str">
        <f t="shared" si="56"/>
        <v>OUT</v>
      </c>
      <c r="C354" s="24">
        <v>44114</v>
      </c>
      <c r="D354" t="s">
        <v>21</v>
      </c>
      <c r="E354" t="s">
        <v>50</v>
      </c>
      <c r="F354" t="s">
        <v>10</v>
      </c>
      <c r="G354" t="s">
        <v>27</v>
      </c>
      <c r="H354" s="15">
        <v>1289</v>
      </c>
      <c r="I354" s="23">
        <f>SUM(H354*VLOOKUP(G354,Tabela1[],2,FALSE))</f>
        <v>64450</v>
      </c>
    </row>
    <row r="355" spans="1:9" x14ac:dyDescent="0.35">
      <c r="A355" s="1">
        <f t="shared" si="55"/>
        <v>2020</v>
      </c>
      <c r="B355" s="1" t="str">
        <f t="shared" si="56"/>
        <v>AGO</v>
      </c>
      <c r="C355" s="13">
        <v>44057</v>
      </c>
      <c r="D355" t="s">
        <v>22</v>
      </c>
      <c r="E355" t="s">
        <v>45</v>
      </c>
      <c r="F355" t="s">
        <v>11</v>
      </c>
      <c r="G355" t="s">
        <v>27</v>
      </c>
      <c r="H355" s="7">
        <v>1697</v>
      </c>
      <c r="I355" s="23">
        <f>SUM(H355*VLOOKUP(G355,Tabela1[],2,FALSE))</f>
        <v>84850</v>
      </c>
    </row>
    <row r="356" spans="1:9" x14ac:dyDescent="0.35">
      <c r="A356" s="1">
        <f t="shared" si="55"/>
        <v>2020</v>
      </c>
      <c r="B356" s="1" t="str">
        <f t="shared" si="56"/>
        <v>OUT</v>
      </c>
      <c r="C356" s="13">
        <v>44106</v>
      </c>
      <c r="D356" t="s">
        <v>20</v>
      </c>
      <c r="E356" t="s">
        <v>24</v>
      </c>
      <c r="F356" t="s">
        <v>14</v>
      </c>
      <c r="G356" t="s">
        <v>28</v>
      </c>
      <c r="H356" s="7">
        <v>3215</v>
      </c>
      <c r="I356" s="23">
        <f>SUM(H356*VLOOKUP(G356,Tabela1[],2,FALSE))</f>
        <v>160750</v>
      </c>
    </row>
    <row r="357" spans="1:9" x14ac:dyDescent="0.35">
      <c r="A357" s="1">
        <f t="shared" si="55"/>
        <v>2020</v>
      </c>
      <c r="B357" s="1" t="str">
        <f t="shared" si="56"/>
        <v>OUT</v>
      </c>
      <c r="C357" s="13">
        <v>44121</v>
      </c>
      <c r="D357" t="s">
        <v>20</v>
      </c>
      <c r="E357" t="s">
        <v>45</v>
      </c>
      <c r="F357" t="s">
        <v>10</v>
      </c>
      <c r="G357" t="s">
        <v>31</v>
      </c>
      <c r="H357" s="7">
        <v>1000</v>
      </c>
      <c r="I357" s="23">
        <f>SUM(H357*VLOOKUP(G357,Tabela1[],2,FALSE))</f>
        <v>50000</v>
      </c>
    </row>
    <row r="358" spans="1:9" x14ac:dyDescent="0.35">
      <c r="A358" s="1">
        <f t="shared" si="55"/>
        <v>2020</v>
      </c>
      <c r="B358" s="1" t="str">
        <f t="shared" si="56"/>
        <v>NOV</v>
      </c>
      <c r="C358" s="13">
        <v>44159</v>
      </c>
      <c r="D358" t="s">
        <v>20</v>
      </c>
      <c r="E358" t="s">
        <v>23</v>
      </c>
      <c r="F358" t="s">
        <v>10</v>
      </c>
      <c r="G358" t="s">
        <v>30</v>
      </c>
      <c r="H358" s="7">
        <v>4489</v>
      </c>
      <c r="I358" s="23">
        <f>SUM(H358*VLOOKUP(G358,Tabela1[],2,FALSE))</f>
        <v>22445</v>
      </c>
    </row>
    <row r="359" spans="1:9" x14ac:dyDescent="0.35">
      <c r="A359" s="1">
        <f t="shared" si="55"/>
        <v>2020</v>
      </c>
      <c r="B359" s="1" t="str">
        <f t="shared" si="56"/>
        <v>MAR</v>
      </c>
      <c r="C359" s="13">
        <v>43915</v>
      </c>
      <c r="D359" t="s">
        <v>21</v>
      </c>
      <c r="E359" t="s">
        <v>26</v>
      </c>
      <c r="F359" t="s">
        <v>11</v>
      </c>
      <c r="G359" t="s">
        <v>30</v>
      </c>
      <c r="H359" s="7">
        <v>4489</v>
      </c>
      <c r="I359" s="23">
        <f>SUM(H359*VLOOKUP(G359,Tabela1[],2,FALSE))</f>
        <v>22445</v>
      </c>
    </row>
    <row r="360" spans="1:9" x14ac:dyDescent="0.35">
      <c r="A360" s="1">
        <f t="shared" si="55"/>
        <v>2020</v>
      </c>
      <c r="B360" s="1" t="str">
        <f t="shared" si="56"/>
        <v>ABR</v>
      </c>
      <c r="C360" s="13">
        <v>43946</v>
      </c>
      <c r="D360" t="s">
        <v>22</v>
      </c>
      <c r="E360" t="s">
        <v>26</v>
      </c>
      <c r="F360" t="s">
        <v>9</v>
      </c>
      <c r="G360" t="s">
        <v>30</v>
      </c>
      <c r="H360" s="7">
        <v>3778</v>
      </c>
      <c r="I360" s="23">
        <f>SUM(H360*VLOOKUP(G360,Tabela1[],2,FALSE))</f>
        <v>18890</v>
      </c>
    </row>
    <row r="361" spans="1:9" x14ac:dyDescent="0.35">
      <c r="A361" s="1">
        <f t="shared" si="55"/>
        <v>2020</v>
      </c>
      <c r="B361" s="1" t="str">
        <f t="shared" si="56"/>
        <v>MAR</v>
      </c>
      <c r="C361" s="13">
        <v>43897</v>
      </c>
      <c r="D361" t="s">
        <v>20</v>
      </c>
      <c r="E361" t="s">
        <v>48</v>
      </c>
      <c r="F361" t="s">
        <v>12</v>
      </c>
      <c r="G361" t="s">
        <v>30</v>
      </c>
      <c r="H361" s="7">
        <v>1007</v>
      </c>
      <c r="I361" s="23">
        <f>SUM(H361*VLOOKUP(G361,Tabela1[],2,FALSE))</f>
        <v>5035</v>
      </c>
    </row>
    <row r="362" spans="1:9" x14ac:dyDescent="0.35">
      <c r="A362" s="1">
        <f t="shared" si="55"/>
        <v>2020</v>
      </c>
      <c r="B362" s="1" t="str">
        <f t="shared" si="56"/>
        <v>FEV</v>
      </c>
      <c r="C362" s="28">
        <v>43869</v>
      </c>
      <c r="D362" s="29" t="s">
        <v>20</v>
      </c>
      <c r="E362" s="29" t="s">
        <v>46</v>
      </c>
      <c r="F362" s="29" t="s">
        <v>12</v>
      </c>
      <c r="G362" s="29" t="s">
        <v>30</v>
      </c>
      <c r="H362" s="30">
        <v>4536</v>
      </c>
      <c r="I362" s="23">
        <f>SUM(H362*VLOOKUP(G362,Tabela1[],2,FALSE))</f>
        <v>22680</v>
      </c>
    </row>
    <row r="363" spans="1:9" x14ac:dyDescent="0.35">
      <c r="A363" s="27">
        <f t="shared" ref="A363:A364" si="57">YEAR(C363)</f>
        <v>2020</v>
      </c>
      <c r="B363" s="27" t="str">
        <f t="shared" ref="B363:B364" si="58">UPPER(TEXT(C363,"mmm"))</f>
        <v>JUN</v>
      </c>
      <c r="C363" s="28">
        <v>44007</v>
      </c>
      <c r="D363" s="29" t="s">
        <v>22</v>
      </c>
      <c r="E363" s="29" t="s">
        <v>26</v>
      </c>
      <c r="F363" s="29" t="s">
        <v>9</v>
      </c>
      <c r="G363" s="29" t="s">
        <v>30</v>
      </c>
      <c r="H363" s="30">
        <v>3778</v>
      </c>
      <c r="I363" s="23">
        <f>SUM(H363*VLOOKUP(G363,Tabela1[],2,FALSE))</f>
        <v>18890</v>
      </c>
    </row>
    <row r="364" spans="1:9" x14ac:dyDescent="0.35">
      <c r="A364" s="27">
        <f t="shared" si="57"/>
        <v>2020</v>
      </c>
      <c r="B364" s="27" t="str">
        <f t="shared" si="58"/>
        <v>OUT</v>
      </c>
      <c r="C364" s="28">
        <v>44114</v>
      </c>
      <c r="D364" s="29" t="s">
        <v>22</v>
      </c>
      <c r="E364" s="29" t="s">
        <v>26</v>
      </c>
      <c r="F364" s="29" t="s">
        <v>9</v>
      </c>
      <c r="G364" s="29" t="s">
        <v>30</v>
      </c>
      <c r="H364" s="30">
        <v>1543</v>
      </c>
      <c r="I364" s="23">
        <f>SUM(H364*VLOOKUP(G364,Tabela1[],2,FALSE))</f>
        <v>7715</v>
      </c>
    </row>
    <row r="365" spans="1:9" x14ac:dyDescent="0.35">
      <c r="A365" s="17">
        <v>2020</v>
      </c>
      <c r="B365" s="18" t="s">
        <v>69</v>
      </c>
      <c r="C365" s="13">
        <v>44192</v>
      </c>
      <c r="D365" t="s">
        <v>20</v>
      </c>
      <c r="E365" t="s">
        <v>48</v>
      </c>
      <c r="F365" s="19" t="s">
        <v>9</v>
      </c>
      <c r="G365" t="s">
        <v>29</v>
      </c>
      <c r="H365" s="15">
        <v>4944</v>
      </c>
      <c r="I365" s="20">
        <v>296640</v>
      </c>
    </row>
    <row r="366" spans="1:9" x14ac:dyDescent="0.35">
      <c r="A366" s="42">
        <v>2020</v>
      </c>
      <c r="B366" s="42" t="s">
        <v>59</v>
      </c>
      <c r="C366" s="28">
        <v>43877</v>
      </c>
      <c r="D366" s="29" t="s">
        <v>21</v>
      </c>
      <c r="E366" s="29" t="s">
        <v>23</v>
      </c>
      <c r="F366" s="43" t="s">
        <v>11</v>
      </c>
      <c r="G366" s="29" t="s">
        <v>29</v>
      </c>
      <c r="H366" s="44">
        <v>3193</v>
      </c>
      <c r="I366" s="45">
        <v>191580</v>
      </c>
    </row>
    <row r="367" spans="1:9" x14ac:dyDescent="0.35">
      <c r="A367" s="12">
        <v>2020</v>
      </c>
      <c r="B367" s="12" t="s">
        <v>68</v>
      </c>
      <c r="C367" s="13">
        <v>44141</v>
      </c>
      <c r="D367" t="s">
        <v>21</v>
      </c>
      <c r="E367" t="s">
        <v>49</v>
      </c>
      <c r="F367" s="14" t="s">
        <v>10</v>
      </c>
      <c r="G367" t="s">
        <v>29</v>
      </c>
      <c r="H367" s="15">
        <v>3377</v>
      </c>
      <c r="I367" s="16">
        <v>202620</v>
      </c>
    </row>
    <row r="368" spans="1:9" x14ac:dyDescent="0.35">
      <c r="A368" s="12">
        <v>2020</v>
      </c>
      <c r="B368" s="12" t="s">
        <v>66</v>
      </c>
      <c r="C368" s="13">
        <v>44095</v>
      </c>
      <c r="D368" t="s">
        <v>20</v>
      </c>
      <c r="E368" t="s">
        <v>49</v>
      </c>
      <c r="F368" s="14" t="s">
        <v>11</v>
      </c>
      <c r="G368" t="s">
        <v>29</v>
      </c>
      <c r="H368" s="15">
        <v>3390</v>
      </c>
      <c r="I368" s="16">
        <v>203400</v>
      </c>
    </row>
    <row r="369" spans="1:9" x14ac:dyDescent="0.35">
      <c r="A369" s="17">
        <v>2020</v>
      </c>
      <c r="B369" s="18" t="s">
        <v>68</v>
      </c>
      <c r="C369" s="13">
        <v>44161</v>
      </c>
      <c r="D369" t="s">
        <v>21</v>
      </c>
      <c r="E369" t="s">
        <v>24</v>
      </c>
      <c r="F369" s="19" t="s">
        <v>9</v>
      </c>
      <c r="G369" t="s">
        <v>29</v>
      </c>
      <c r="H369" s="15">
        <v>4501</v>
      </c>
      <c r="I369" s="20">
        <v>270060</v>
      </c>
    </row>
    <row r="370" spans="1:9" x14ac:dyDescent="0.35">
      <c r="A370" s="12">
        <v>2020</v>
      </c>
      <c r="B370" s="12" t="s">
        <v>63</v>
      </c>
      <c r="C370" s="13">
        <v>44002</v>
      </c>
      <c r="D370" t="s">
        <v>20</v>
      </c>
      <c r="E370" t="s">
        <v>23</v>
      </c>
      <c r="F370" t="s">
        <v>10</v>
      </c>
      <c r="G370" t="s">
        <v>29</v>
      </c>
      <c r="H370" s="15">
        <v>1106</v>
      </c>
      <c r="I370" s="16">
        <v>66360</v>
      </c>
    </row>
    <row r="371" spans="1:9" x14ac:dyDescent="0.35">
      <c r="A371" s="12">
        <v>2020</v>
      </c>
      <c r="B371" s="12" t="s">
        <v>60</v>
      </c>
      <c r="C371" s="13">
        <v>43911</v>
      </c>
      <c r="D371" t="s">
        <v>21</v>
      </c>
      <c r="E371" t="s">
        <v>24</v>
      </c>
      <c r="F371" t="s">
        <v>12</v>
      </c>
      <c r="G371" t="s">
        <v>29</v>
      </c>
      <c r="H371" s="15">
        <v>1185</v>
      </c>
      <c r="I371" s="16">
        <v>71100</v>
      </c>
    </row>
    <row r="372" spans="1:9" x14ac:dyDescent="0.35">
      <c r="A372" s="12">
        <v>2020</v>
      </c>
      <c r="B372" s="12" t="s">
        <v>63</v>
      </c>
      <c r="C372" s="13">
        <v>43996</v>
      </c>
      <c r="D372" t="s">
        <v>21</v>
      </c>
      <c r="E372" t="s">
        <v>26</v>
      </c>
      <c r="F372" t="s">
        <v>12</v>
      </c>
      <c r="G372" t="s">
        <v>29</v>
      </c>
      <c r="H372" s="15">
        <v>3544</v>
      </c>
      <c r="I372" s="16">
        <v>212640</v>
      </c>
    </row>
    <row r="373" spans="1:9" x14ac:dyDescent="0.35">
      <c r="A373" s="12">
        <v>2020</v>
      </c>
      <c r="B373" s="12" t="s">
        <v>59</v>
      </c>
      <c r="C373" s="13">
        <v>43879</v>
      </c>
      <c r="D373" t="s">
        <v>21</v>
      </c>
      <c r="E373" t="s">
        <v>26</v>
      </c>
      <c r="F373" t="s">
        <v>12</v>
      </c>
      <c r="G373" t="s">
        <v>29</v>
      </c>
      <c r="H373" s="15">
        <v>2689</v>
      </c>
      <c r="I373" s="16">
        <v>161340</v>
      </c>
    </row>
    <row r="374" spans="1:9" x14ac:dyDescent="0.35">
      <c r="A374" s="12">
        <v>2020</v>
      </c>
      <c r="B374" s="12" t="s">
        <v>66</v>
      </c>
      <c r="C374" s="13">
        <v>44075</v>
      </c>
      <c r="D374" t="s">
        <v>21</v>
      </c>
      <c r="E374" t="s">
        <v>47</v>
      </c>
      <c r="F374" t="s">
        <v>12</v>
      </c>
      <c r="G374" t="s">
        <v>29</v>
      </c>
      <c r="H374" s="15">
        <v>2672</v>
      </c>
      <c r="I374" s="16">
        <v>160320</v>
      </c>
    </row>
    <row r="375" spans="1:9" x14ac:dyDescent="0.35">
      <c r="A375" s="1">
        <v>2020</v>
      </c>
      <c r="B375" s="1" t="s">
        <v>61</v>
      </c>
      <c r="C375" s="13">
        <v>43942</v>
      </c>
      <c r="D375" t="s">
        <v>22</v>
      </c>
      <c r="E375" t="s">
        <v>26</v>
      </c>
      <c r="F375" t="s">
        <v>12</v>
      </c>
      <c r="G375" t="s">
        <v>29</v>
      </c>
      <c r="H375" s="15">
        <v>4687</v>
      </c>
      <c r="I375" s="16">
        <v>281220</v>
      </c>
    </row>
    <row r="376" spans="1:9" x14ac:dyDescent="0.35">
      <c r="A376" s="1">
        <v>2020</v>
      </c>
      <c r="B376" s="1" t="s">
        <v>61</v>
      </c>
      <c r="C376" s="13">
        <v>43948</v>
      </c>
      <c r="D376" t="s">
        <v>22</v>
      </c>
      <c r="E376" t="s">
        <v>47</v>
      </c>
      <c r="F376" t="s">
        <v>12</v>
      </c>
      <c r="G376" t="s">
        <v>29</v>
      </c>
      <c r="H376" s="15">
        <v>2247</v>
      </c>
      <c r="I376" s="16">
        <v>134820</v>
      </c>
    </row>
    <row r="377" spans="1:9" x14ac:dyDescent="0.35">
      <c r="A377" s="1">
        <v>2020</v>
      </c>
      <c r="B377" s="1" t="s">
        <v>59</v>
      </c>
      <c r="C377" s="13">
        <v>43886</v>
      </c>
      <c r="D377" t="s">
        <v>22</v>
      </c>
      <c r="E377" t="s">
        <v>26</v>
      </c>
      <c r="F377" t="s">
        <v>12</v>
      </c>
      <c r="G377" t="s">
        <v>29</v>
      </c>
      <c r="H377" s="15">
        <v>1645</v>
      </c>
      <c r="I377" s="16">
        <v>98700</v>
      </c>
    </row>
    <row r="378" spans="1:9" x14ac:dyDescent="0.35">
      <c r="A378" s="1">
        <v>2020</v>
      </c>
      <c r="B378" s="1" t="s">
        <v>69</v>
      </c>
      <c r="C378" s="13">
        <v>44169</v>
      </c>
      <c r="D378" t="s">
        <v>22</v>
      </c>
      <c r="E378" t="s">
        <v>47</v>
      </c>
      <c r="F378" t="s">
        <v>12</v>
      </c>
      <c r="G378" t="s">
        <v>29</v>
      </c>
      <c r="H378" s="15">
        <v>1355</v>
      </c>
      <c r="I378" s="16">
        <v>81300</v>
      </c>
    </row>
    <row r="379" spans="1:9" x14ac:dyDescent="0.35">
      <c r="A379" s="1">
        <v>2020</v>
      </c>
      <c r="B379" s="1" t="s">
        <v>58</v>
      </c>
      <c r="C379" s="13">
        <v>43841</v>
      </c>
      <c r="D379" t="s">
        <v>20</v>
      </c>
      <c r="E379" t="s">
        <v>26</v>
      </c>
      <c r="F379" t="s">
        <v>12</v>
      </c>
      <c r="G379" t="s">
        <v>29</v>
      </c>
      <c r="H379" s="15">
        <v>4531</v>
      </c>
      <c r="I379" s="16">
        <v>271860</v>
      </c>
    </row>
    <row r="380" spans="1:9" x14ac:dyDescent="0.35">
      <c r="A380" s="1">
        <v>2020</v>
      </c>
      <c r="B380" s="1" t="s">
        <v>60</v>
      </c>
      <c r="C380" s="13">
        <v>43894</v>
      </c>
      <c r="D380" t="s">
        <v>22</v>
      </c>
      <c r="E380" t="s">
        <v>47</v>
      </c>
      <c r="F380" t="s">
        <v>12</v>
      </c>
      <c r="G380" t="s">
        <v>29</v>
      </c>
      <c r="H380" s="15">
        <v>3102</v>
      </c>
      <c r="I380" s="16">
        <v>186120</v>
      </c>
    </row>
    <row r="381" spans="1:9" x14ac:dyDescent="0.35">
      <c r="A381" s="1">
        <v>2020</v>
      </c>
      <c r="B381" s="1" t="s">
        <v>58</v>
      </c>
      <c r="C381" s="13">
        <v>43841</v>
      </c>
      <c r="D381" t="s">
        <v>20</v>
      </c>
      <c r="E381" t="s">
        <v>26</v>
      </c>
      <c r="F381" t="s">
        <v>12</v>
      </c>
      <c r="G381" t="s">
        <v>29</v>
      </c>
      <c r="H381" s="15">
        <v>4531</v>
      </c>
      <c r="I381" s="16">
        <v>271860</v>
      </c>
    </row>
    <row r="382" spans="1:9" x14ac:dyDescent="0.35">
      <c r="A382" s="1">
        <v>2020</v>
      </c>
      <c r="B382" s="1" t="s">
        <v>60</v>
      </c>
      <c r="C382" s="13">
        <v>43894</v>
      </c>
      <c r="D382" t="s">
        <v>20</v>
      </c>
      <c r="E382" t="s">
        <v>47</v>
      </c>
      <c r="F382" t="s">
        <v>12</v>
      </c>
      <c r="G382" t="s">
        <v>29</v>
      </c>
      <c r="H382" s="15">
        <v>3102</v>
      </c>
      <c r="I382" s="16">
        <v>186120</v>
      </c>
    </row>
    <row r="383" spans="1:9" x14ac:dyDescent="0.35">
      <c r="A383" s="27">
        <v>2020</v>
      </c>
      <c r="B383" s="27" t="s">
        <v>67</v>
      </c>
      <c r="C383" s="28">
        <v>44112</v>
      </c>
      <c r="D383" t="s">
        <v>20</v>
      </c>
      <c r="E383" s="29" t="s">
        <v>45</v>
      </c>
      <c r="F383" s="29" t="s">
        <v>14</v>
      </c>
      <c r="G383" s="29" t="s">
        <v>28</v>
      </c>
      <c r="H383" s="44">
        <v>2178</v>
      </c>
      <c r="I383" s="45">
        <v>108900</v>
      </c>
    </row>
    <row r="384" spans="1:9" x14ac:dyDescent="0.35">
      <c r="A384" s="1">
        <v>2020</v>
      </c>
      <c r="B384" s="1" t="s">
        <v>60</v>
      </c>
      <c r="C384" s="13">
        <v>43915</v>
      </c>
      <c r="D384" t="s">
        <v>22</v>
      </c>
      <c r="E384" t="s">
        <v>24</v>
      </c>
      <c r="F384" t="s">
        <v>11</v>
      </c>
      <c r="G384" t="s">
        <v>28</v>
      </c>
      <c r="H384" s="15">
        <v>2636</v>
      </c>
      <c r="I384" s="20">
        <v>131800</v>
      </c>
    </row>
    <row r="385" spans="1:9" x14ac:dyDescent="0.35">
      <c r="A385" s="1">
        <v>2020</v>
      </c>
      <c r="B385" s="1" t="s">
        <v>64</v>
      </c>
      <c r="C385" s="13">
        <v>44041</v>
      </c>
      <c r="D385" t="s">
        <v>20</v>
      </c>
      <c r="E385" t="s">
        <v>23</v>
      </c>
      <c r="F385" t="s">
        <v>10</v>
      </c>
      <c r="G385" t="s">
        <v>28</v>
      </c>
      <c r="H385" s="15">
        <v>614</v>
      </c>
      <c r="I385" s="16">
        <v>30700</v>
      </c>
    </row>
    <row r="386" spans="1:9" x14ac:dyDescent="0.35">
      <c r="A386" s="1">
        <v>2020</v>
      </c>
      <c r="B386" s="1" t="s">
        <v>67</v>
      </c>
      <c r="C386" s="13">
        <v>44106</v>
      </c>
      <c r="D386" t="s">
        <v>20</v>
      </c>
      <c r="E386" t="s">
        <v>24</v>
      </c>
      <c r="F386" t="s">
        <v>14</v>
      </c>
      <c r="G386" t="s">
        <v>28</v>
      </c>
      <c r="H386" s="7">
        <v>3215</v>
      </c>
      <c r="I386" s="23">
        <v>160750</v>
      </c>
    </row>
    <row r="387" spans="1:9" x14ac:dyDescent="0.35">
      <c r="A387" s="1">
        <v>2020</v>
      </c>
      <c r="B387" s="1" t="s">
        <v>67</v>
      </c>
      <c r="C387" s="13">
        <v>44112</v>
      </c>
      <c r="D387" t="s">
        <v>22</v>
      </c>
      <c r="E387" t="s">
        <v>45</v>
      </c>
      <c r="F387" t="s">
        <v>14</v>
      </c>
      <c r="G387" t="s">
        <v>28</v>
      </c>
      <c r="H387" s="15">
        <v>2178</v>
      </c>
      <c r="I387" s="16">
        <v>108900</v>
      </c>
    </row>
    <row r="388" spans="1:9" x14ac:dyDescent="0.35">
      <c r="A388" s="1">
        <v>2020</v>
      </c>
      <c r="B388" s="1" t="s">
        <v>60</v>
      </c>
      <c r="C388" s="13">
        <v>43915</v>
      </c>
      <c r="D388" t="s">
        <v>22</v>
      </c>
      <c r="E388" t="s">
        <v>24</v>
      </c>
      <c r="F388" t="s">
        <v>11</v>
      </c>
      <c r="G388" t="s">
        <v>28</v>
      </c>
      <c r="H388" s="15">
        <v>2636</v>
      </c>
      <c r="I388" s="20">
        <v>131800</v>
      </c>
    </row>
    <row r="389" spans="1:9" x14ac:dyDescent="0.35">
      <c r="A389" s="1">
        <v>2020</v>
      </c>
      <c r="B389" s="1" t="s">
        <v>64</v>
      </c>
      <c r="C389" s="13">
        <v>44041</v>
      </c>
      <c r="D389" t="s">
        <v>20</v>
      </c>
      <c r="E389" t="s">
        <v>23</v>
      </c>
      <c r="F389" t="s">
        <v>10</v>
      </c>
      <c r="G389" t="s">
        <v>28</v>
      </c>
      <c r="H389" s="15">
        <v>614</v>
      </c>
      <c r="I389" s="16">
        <v>30700</v>
      </c>
    </row>
    <row r="390" spans="1:9" x14ac:dyDescent="0.35">
      <c r="A390" s="1">
        <v>2020</v>
      </c>
      <c r="B390" s="1" t="s">
        <v>67</v>
      </c>
      <c r="C390" s="13">
        <v>44106</v>
      </c>
      <c r="D390" t="s">
        <v>20</v>
      </c>
      <c r="E390" t="s">
        <v>24</v>
      </c>
      <c r="F390" t="s">
        <v>14</v>
      </c>
      <c r="G390" t="s">
        <v>28</v>
      </c>
      <c r="H390" s="7">
        <v>3215</v>
      </c>
      <c r="I390" s="23">
        <v>160750</v>
      </c>
    </row>
    <row r="391" spans="1:9" x14ac:dyDescent="0.35">
      <c r="A391" s="1">
        <f t="shared" ref="A391:A432" si="59">YEAR(C391)</f>
        <v>2020</v>
      </c>
      <c r="B391" s="1" t="str">
        <f t="shared" ref="B391:B432" si="60">UPPER(TEXT(C391,"mmm"))</f>
        <v>DEZ</v>
      </c>
      <c r="C391" s="13">
        <v>44170</v>
      </c>
      <c r="D391" t="s">
        <v>22</v>
      </c>
      <c r="E391" t="s">
        <v>26</v>
      </c>
      <c r="F391" t="s">
        <v>10</v>
      </c>
      <c r="G391" t="s">
        <v>27</v>
      </c>
      <c r="H391" s="15">
        <v>2778</v>
      </c>
      <c r="I391" s="20">
        <f>SUM(H391*VLOOKUP(G391,Tabela1[],2,FALSE))</f>
        <v>138900</v>
      </c>
    </row>
    <row r="392" spans="1:9" x14ac:dyDescent="0.35">
      <c r="A392" s="1">
        <f t="shared" si="59"/>
        <v>2020</v>
      </c>
      <c r="B392" s="1" t="str">
        <f t="shared" si="60"/>
        <v>DEZ</v>
      </c>
      <c r="C392" s="13">
        <v>44193</v>
      </c>
      <c r="D392" t="s">
        <v>20</v>
      </c>
      <c r="E392" t="s">
        <v>24</v>
      </c>
      <c r="F392" t="s">
        <v>11</v>
      </c>
      <c r="G392" t="s">
        <v>27</v>
      </c>
      <c r="H392" s="15">
        <v>4471</v>
      </c>
      <c r="I392" s="16">
        <f>SUM(H392*VLOOKUP(G392,Tabela1[],2,FALSE))</f>
        <v>223550</v>
      </c>
    </row>
    <row r="393" spans="1:9" x14ac:dyDescent="0.35">
      <c r="A393" s="1">
        <f t="shared" si="59"/>
        <v>2020</v>
      </c>
      <c r="B393" s="1" t="str">
        <f t="shared" si="60"/>
        <v>OUT</v>
      </c>
      <c r="C393" s="13">
        <v>44112</v>
      </c>
      <c r="D393" t="s">
        <v>22</v>
      </c>
      <c r="E393" t="s">
        <v>45</v>
      </c>
      <c r="F393" t="s">
        <v>14</v>
      </c>
      <c r="G393" t="s">
        <v>28</v>
      </c>
      <c r="H393" s="15">
        <v>2178</v>
      </c>
      <c r="I393" s="16">
        <f>SUM(H393*VLOOKUP(G393,Tabela1[],2,FALSE))</f>
        <v>108900</v>
      </c>
    </row>
    <row r="394" spans="1:9" x14ac:dyDescent="0.35">
      <c r="A394" s="1">
        <f t="shared" si="59"/>
        <v>2020</v>
      </c>
      <c r="B394" s="1" t="str">
        <f t="shared" si="60"/>
        <v>NOV</v>
      </c>
      <c r="C394" s="13">
        <v>44141</v>
      </c>
      <c r="D394" s="14" t="s">
        <v>21</v>
      </c>
      <c r="E394" t="s">
        <v>49</v>
      </c>
      <c r="F394" t="s">
        <v>10</v>
      </c>
      <c r="G394" t="s">
        <v>31</v>
      </c>
      <c r="H394" s="15">
        <v>2446</v>
      </c>
      <c r="I394" s="16">
        <f>SUM(H394*VLOOKUP(G394,Tabela1[],2,FALSE))</f>
        <v>122300</v>
      </c>
    </row>
    <row r="395" spans="1:9" x14ac:dyDescent="0.35">
      <c r="A395" s="1">
        <f t="shared" si="59"/>
        <v>2020</v>
      </c>
      <c r="B395" s="1" t="str">
        <f t="shared" si="60"/>
        <v>MAI</v>
      </c>
      <c r="C395" s="13">
        <v>43976</v>
      </c>
      <c r="D395" t="s">
        <v>20</v>
      </c>
      <c r="E395" t="s">
        <v>26</v>
      </c>
      <c r="F395" t="s">
        <v>10</v>
      </c>
      <c r="G395" t="s">
        <v>31</v>
      </c>
      <c r="H395" s="15">
        <v>1500</v>
      </c>
      <c r="I395" s="20">
        <f>SUM(H395*VLOOKUP(G395,Tabela1[],2,FALSE))</f>
        <v>75000</v>
      </c>
    </row>
    <row r="396" spans="1:9" x14ac:dyDescent="0.35">
      <c r="A396" s="1">
        <f t="shared" si="59"/>
        <v>2020</v>
      </c>
      <c r="B396" s="1" t="str">
        <f t="shared" si="60"/>
        <v>MAR</v>
      </c>
      <c r="C396" s="13">
        <v>43915</v>
      </c>
      <c r="D396" t="s">
        <v>21</v>
      </c>
      <c r="E396" t="s">
        <v>24</v>
      </c>
      <c r="F396" t="s">
        <v>11</v>
      </c>
      <c r="G396" t="s">
        <v>28</v>
      </c>
      <c r="H396" s="15">
        <v>2636</v>
      </c>
      <c r="I396" s="20">
        <f>SUM(H396*VLOOKUP(G396,Tabela1[],2,FALSE))</f>
        <v>131800</v>
      </c>
    </row>
    <row r="397" spans="1:9" x14ac:dyDescent="0.35">
      <c r="A397" s="1">
        <f t="shared" si="59"/>
        <v>2020</v>
      </c>
      <c r="B397" s="1" t="str">
        <f t="shared" si="60"/>
        <v>JAN</v>
      </c>
      <c r="C397" s="13">
        <v>43847</v>
      </c>
      <c r="D397" t="s">
        <v>21</v>
      </c>
      <c r="E397" t="s">
        <v>49</v>
      </c>
      <c r="F397" t="s">
        <v>9</v>
      </c>
      <c r="G397" t="s">
        <v>27</v>
      </c>
      <c r="H397" s="15">
        <v>4650</v>
      </c>
      <c r="I397" s="16">
        <f>SUM(H397*VLOOKUP(G397,Tabela1[],2,FALSE))</f>
        <v>232500</v>
      </c>
    </row>
    <row r="398" spans="1:9" x14ac:dyDescent="0.35">
      <c r="A398" s="1">
        <f t="shared" si="59"/>
        <v>2020</v>
      </c>
      <c r="B398" s="1" t="str">
        <f t="shared" si="60"/>
        <v>JUL</v>
      </c>
      <c r="C398" s="13">
        <v>44041</v>
      </c>
      <c r="D398" t="s">
        <v>20</v>
      </c>
      <c r="E398" t="s">
        <v>23</v>
      </c>
      <c r="F398" t="s">
        <v>10</v>
      </c>
      <c r="G398" t="s">
        <v>28</v>
      </c>
      <c r="H398" s="15">
        <v>614</v>
      </c>
      <c r="I398" s="16">
        <f>SUM(H398*VLOOKUP(G398,Tabela1[],2,FALSE))</f>
        <v>30700</v>
      </c>
    </row>
    <row r="399" spans="1:9" x14ac:dyDescent="0.35">
      <c r="A399" s="1">
        <f t="shared" si="59"/>
        <v>2020</v>
      </c>
      <c r="B399" s="1" t="str">
        <f t="shared" si="60"/>
        <v>AGO</v>
      </c>
      <c r="C399" s="13">
        <v>44071</v>
      </c>
      <c r="D399" t="s">
        <v>22</v>
      </c>
      <c r="E399" t="s">
        <v>26</v>
      </c>
      <c r="F399" t="s">
        <v>10</v>
      </c>
      <c r="G399" t="s">
        <v>31</v>
      </c>
      <c r="H399" s="15">
        <v>2000</v>
      </c>
      <c r="I399" s="16">
        <f>SUM(H399*VLOOKUP(G399,Tabela1[],2,FALSE))</f>
        <v>100000</v>
      </c>
    </row>
    <row r="400" spans="1:9" x14ac:dyDescent="0.35">
      <c r="A400" s="1">
        <f t="shared" si="59"/>
        <v>2020</v>
      </c>
      <c r="B400" s="1" t="str">
        <f t="shared" si="60"/>
        <v>AGO</v>
      </c>
      <c r="C400" s="13">
        <v>44050</v>
      </c>
      <c r="D400" t="s">
        <v>22</v>
      </c>
      <c r="E400" t="s">
        <v>24</v>
      </c>
      <c r="F400" t="s">
        <v>11</v>
      </c>
      <c r="G400" t="s">
        <v>31</v>
      </c>
      <c r="H400" s="15">
        <v>1200</v>
      </c>
      <c r="I400" s="20">
        <f>SUM(H400*VLOOKUP(G400,Tabela1[],2,FALSE))</f>
        <v>60000</v>
      </c>
    </row>
    <row r="401" spans="1:9" x14ac:dyDescent="0.35">
      <c r="A401" s="1">
        <f t="shared" si="59"/>
        <v>2020</v>
      </c>
      <c r="B401" s="1" t="str">
        <f t="shared" si="60"/>
        <v>NOV</v>
      </c>
      <c r="C401" s="13">
        <v>44150</v>
      </c>
      <c r="D401" t="s">
        <v>22</v>
      </c>
      <c r="E401" t="s">
        <v>46</v>
      </c>
      <c r="F401" t="s">
        <v>9</v>
      </c>
      <c r="G401" t="s">
        <v>31</v>
      </c>
      <c r="H401" s="15">
        <v>1200</v>
      </c>
      <c r="I401" s="20">
        <f>SUM(H401*VLOOKUP(G401,Tabela1[],2,FALSE))</f>
        <v>60000</v>
      </c>
    </row>
    <row r="402" spans="1:9" x14ac:dyDescent="0.35">
      <c r="A402" s="1">
        <f t="shared" si="59"/>
        <v>2020</v>
      </c>
      <c r="B402" s="1" t="str">
        <f t="shared" si="60"/>
        <v>OUT</v>
      </c>
      <c r="C402" s="13">
        <v>44114</v>
      </c>
      <c r="D402" t="s">
        <v>21</v>
      </c>
      <c r="E402" t="s">
        <v>48</v>
      </c>
      <c r="F402" t="s">
        <v>9</v>
      </c>
      <c r="G402" t="s">
        <v>27</v>
      </c>
      <c r="H402" s="15">
        <v>4355</v>
      </c>
      <c r="I402" s="16">
        <f>SUM(H402*VLOOKUP(G402,Tabela1[],2,FALSE))</f>
        <v>217750</v>
      </c>
    </row>
    <row r="403" spans="1:9" x14ac:dyDescent="0.35">
      <c r="A403" s="1">
        <f t="shared" si="59"/>
        <v>2020</v>
      </c>
      <c r="B403" s="1" t="str">
        <f t="shared" si="60"/>
        <v>JAN</v>
      </c>
      <c r="C403" s="13">
        <v>43841</v>
      </c>
      <c r="D403" t="s">
        <v>21</v>
      </c>
      <c r="E403" t="s">
        <v>26</v>
      </c>
      <c r="F403" t="s">
        <v>12</v>
      </c>
      <c r="G403" t="s">
        <v>29</v>
      </c>
      <c r="H403" s="15">
        <v>4531</v>
      </c>
      <c r="I403" s="16">
        <f>SUM(H403*VLOOKUP(G403,Tabela1[],2,FALSE))</f>
        <v>271860</v>
      </c>
    </row>
    <row r="404" spans="1:9" x14ac:dyDescent="0.35">
      <c r="A404" s="1">
        <f t="shared" si="59"/>
        <v>2020</v>
      </c>
      <c r="B404" s="1" t="str">
        <f t="shared" si="60"/>
        <v>MAR</v>
      </c>
      <c r="C404" s="13">
        <v>43894</v>
      </c>
      <c r="D404" t="s">
        <v>21</v>
      </c>
      <c r="E404" t="s">
        <v>47</v>
      </c>
      <c r="F404" t="s">
        <v>12</v>
      </c>
      <c r="G404" t="s">
        <v>29</v>
      </c>
      <c r="H404" s="15">
        <v>3102</v>
      </c>
      <c r="I404" s="16">
        <f>SUM(H404*VLOOKUP(G404,Tabela1[],2,FALSE))</f>
        <v>186120</v>
      </c>
    </row>
    <row r="405" spans="1:9" x14ac:dyDescent="0.35">
      <c r="A405" s="1">
        <f t="shared" si="59"/>
        <v>2020</v>
      </c>
      <c r="B405" s="1" t="str">
        <f t="shared" si="60"/>
        <v>FEV</v>
      </c>
      <c r="C405" s="13">
        <v>43876</v>
      </c>
      <c r="D405" t="s">
        <v>21</v>
      </c>
      <c r="E405" t="s">
        <v>25</v>
      </c>
      <c r="F405" t="s">
        <v>14</v>
      </c>
      <c r="G405" t="s">
        <v>31</v>
      </c>
      <c r="H405" s="15">
        <v>1800</v>
      </c>
      <c r="I405" s="20">
        <f>SUM(H405*VLOOKUP(G405,Tabela1[],2,FALSE))</f>
        <v>90000</v>
      </c>
    </row>
    <row r="406" spans="1:9" x14ac:dyDescent="0.35">
      <c r="A406" s="1">
        <f t="shared" si="59"/>
        <v>2020</v>
      </c>
      <c r="B406" s="1" t="str">
        <f t="shared" si="60"/>
        <v>JUL</v>
      </c>
      <c r="C406" s="13">
        <v>44020</v>
      </c>
      <c r="D406" t="s">
        <v>22</v>
      </c>
      <c r="E406" t="s">
        <v>50</v>
      </c>
      <c r="F406" t="s">
        <v>9</v>
      </c>
      <c r="G406" t="s">
        <v>27</v>
      </c>
      <c r="H406" s="15">
        <v>1516</v>
      </c>
      <c r="I406" s="23">
        <f>SUM(H406*VLOOKUP(G406,Tabela1[],2,FALSE))</f>
        <v>75800</v>
      </c>
    </row>
    <row r="407" spans="1:9" x14ac:dyDescent="0.35">
      <c r="A407" s="1">
        <f t="shared" si="59"/>
        <v>2020</v>
      </c>
      <c r="B407" s="1" t="str">
        <f t="shared" si="60"/>
        <v>OUT</v>
      </c>
      <c r="C407" s="24">
        <v>44114</v>
      </c>
      <c r="D407" t="s">
        <v>21</v>
      </c>
      <c r="E407" t="s">
        <v>50</v>
      </c>
      <c r="F407" t="s">
        <v>10</v>
      </c>
      <c r="G407" t="s">
        <v>27</v>
      </c>
      <c r="H407" s="15">
        <v>1289</v>
      </c>
      <c r="I407" s="23">
        <f>SUM(H407*VLOOKUP(G407,Tabela1[],2,FALSE))</f>
        <v>64450</v>
      </c>
    </row>
    <row r="408" spans="1:9" x14ac:dyDescent="0.35">
      <c r="A408" s="1">
        <f t="shared" si="59"/>
        <v>2020</v>
      </c>
      <c r="B408" s="1" t="str">
        <f t="shared" si="60"/>
        <v>AGO</v>
      </c>
      <c r="C408" s="13">
        <v>44057</v>
      </c>
      <c r="D408" t="s">
        <v>22</v>
      </c>
      <c r="E408" t="s">
        <v>45</v>
      </c>
      <c r="F408" t="s">
        <v>11</v>
      </c>
      <c r="G408" t="s">
        <v>27</v>
      </c>
      <c r="H408" s="7">
        <v>1697</v>
      </c>
      <c r="I408" s="23">
        <f>SUM(H408*VLOOKUP(G408,Tabela1[],2,FALSE))</f>
        <v>84850</v>
      </c>
    </row>
    <row r="409" spans="1:9" x14ac:dyDescent="0.35">
      <c r="A409" s="1">
        <f t="shared" si="59"/>
        <v>2020</v>
      </c>
      <c r="B409" s="1" t="str">
        <f t="shared" si="60"/>
        <v>OUT</v>
      </c>
      <c r="C409" s="13">
        <v>44106</v>
      </c>
      <c r="D409" t="s">
        <v>20</v>
      </c>
      <c r="E409" t="s">
        <v>24</v>
      </c>
      <c r="F409" t="s">
        <v>14</v>
      </c>
      <c r="G409" t="s">
        <v>28</v>
      </c>
      <c r="H409" s="7">
        <v>3215</v>
      </c>
      <c r="I409" s="23">
        <f>SUM(H409*VLOOKUP(G409,Tabela1[],2,FALSE))</f>
        <v>160750</v>
      </c>
    </row>
    <row r="410" spans="1:9" x14ac:dyDescent="0.35">
      <c r="A410" s="1">
        <f t="shared" si="59"/>
        <v>2020</v>
      </c>
      <c r="B410" s="1" t="str">
        <f t="shared" si="60"/>
        <v>OUT</v>
      </c>
      <c r="C410" s="13">
        <v>44121</v>
      </c>
      <c r="D410" t="s">
        <v>20</v>
      </c>
      <c r="E410" t="s">
        <v>45</v>
      </c>
      <c r="F410" t="s">
        <v>10</v>
      </c>
      <c r="G410" t="s">
        <v>31</v>
      </c>
      <c r="H410" s="7">
        <v>1000</v>
      </c>
      <c r="I410" s="23">
        <f>SUM(H410*VLOOKUP(G410,Tabela1[],2,FALSE))</f>
        <v>50000</v>
      </c>
    </row>
    <row r="411" spans="1:9" x14ac:dyDescent="0.35">
      <c r="A411" s="1">
        <f t="shared" si="59"/>
        <v>2020</v>
      </c>
      <c r="B411" s="1" t="str">
        <f t="shared" si="60"/>
        <v>NOV</v>
      </c>
      <c r="C411" s="13">
        <v>44159</v>
      </c>
      <c r="D411" t="s">
        <v>20</v>
      </c>
      <c r="E411" t="s">
        <v>23</v>
      </c>
      <c r="F411" t="s">
        <v>10</v>
      </c>
      <c r="G411" t="s">
        <v>30</v>
      </c>
      <c r="H411" s="7">
        <v>4489</v>
      </c>
      <c r="I411" s="23">
        <f>SUM(H411*VLOOKUP(G411,Tabela1[],2,FALSE))</f>
        <v>22445</v>
      </c>
    </row>
    <row r="412" spans="1:9" x14ac:dyDescent="0.35">
      <c r="A412" s="1">
        <f t="shared" si="59"/>
        <v>2020</v>
      </c>
      <c r="B412" s="1" t="str">
        <f t="shared" si="60"/>
        <v>MAR</v>
      </c>
      <c r="C412" s="13">
        <v>43915</v>
      </c>
      <c r="D412" t="s">
        <v>21</v>
      </c>
      <c r="E412" t="s">
        <v>26</v>
      </c>
      <c r="F412" t="s">
        <v>11</v>
      </c>
      <c r="G412" t="s">
        <v>30</v>
      </c>
      <c r="H412" s="7">
        <v>4489</v>
      </c>
      <c r="I412" s="23">
        <f>SUM(H412*VLOOKUP(G412,Tabela1[],2,FALSE))</f>
        <v>22445</v>
      </c>
    </row>
    <row r="413" spans="1:9" x14ac:dyDescent="0.35">
      <c r="A413" s="1">
        <f t="shared" si="59"/>
        <v>2020</v>
      </c>
      <c r="B413" s="1" t="str">
        <f t="shared" si="60"/>
        <v>ABR</v>
      </c>
      <c r="C413" s="13">
        <v>43946</v>
      </c>
      <c r="D413" t="s">
        <v>22</v>
      </c>
      <c r="E413" t="s">
        <v>26</v>
      </c>
      <c r="F413" t="s">
        <v>9</v>
      </c>
      <c r="G413" t="s">
        <v>30</v>
      </c>
      <c r="H413" s="7">
        <v>3778</v>
      </c>
      <c r="I413" s="23">
        <f>SUM(H413*VLOOKUP(G413,Tabela1[],2,FALSE))</f>
        <v>18890</v>
      </c>
    </row>
    <row r="414" spans="1:9" x14ac:dyDescent="0.35">
      <c r="A414" s="1">
        <f t="shared" si="59"/>
        <v>2020</v>
      </c>
      <c r="B414" s="1" t="str">
        <f t="shared" si="60"/>
        <v>MAR</v>
      </c>
      <c r="C414" s="13">
        <v>43897</v>
      </c>
      <c r="D414" t="s">
        <v>20</v>
      </c>
      <c r="E414" t="s">
        <v>48</v>
      </c>
      <c r="F414" t="s">
        <v>12</v>
      </c>
      <c r="G414" t="s">
        <v>30</v>
      </c>
      <c r="H414" s="7">
        <v>1007</v>
      </c>
      <c r="I414" s="23">
        <f>SUM(H414*VLOOKUP(G414,Tabela1[],2,FALSE))</f>
        <v>5035</v>
      </c>
    </row>
    <row r="415" spans="1:9" x14ac:dyDescent="0.35">
      <c r="A415" s="1">
        <f t="shared" si="59"/>
        <v>2020</v>
      </c>
      <c r="B415" s="1" t="str">
        <f t="shared" si="60"/>
        <v>FEV</v>
      </c>
      <c r="C415" s="28">
        <v>43869</v>
      </c>
      <c r="D415" s="29" t="s">
        <v>20</v>
      </c>
      <c r="E415" s="29" t="s">
        <v>46</v>
      </c>
      <c r="F415" s="29" t="s">
        <v>12</v>
      </c>
      <c r="G415" s="29" t="s">
        <v>30</v>
      </c>
      <c r="H415" s="30">
        <v>4536</v>
      </c>
      <c r="I415" s="23">
        <f>SUM(H415*VLOOKUP(G415,Tabela1[],2,FALSE))</f>
        <v>22680</v>
      </c>
    </row>
    <row r="416" spans="1:9" x14ac:dyDescent="0.35">
      <c r="A416" s="27">
        <f t="shared" si="59"/>
        <v>2020</v>
      </c>
      <c r="B416" s="27" t="str">
        <f t="shared" si="60"/>
        <v>JUN</v>
      </c>
      <c r="C416" s="28">
        <v>44007</v>
      </c>
      <c r="D416" s="29" t="s">
        <v>22</v>
      </c>
      <c r="E416" s="29" t="s">
        <v>26</v>
      </c>
      <c r="F416" s="29" t="s">
        <v>9</v>
      </c>
      <c r="G416" s="29" t="s">
        <v>30</v>
      </c>
      <c r="H416" s="30">
        <v>3778</v>
      </c>
      <c r="I416" s="23">
        <f>SUM(H416*VLOOKUP(G416,Tabela1[],2,FALSE))</f>
        <v>18890</v>
      </c>
    </row>
    <row r="417" spans="1:9" x14ac:dyDescent="0.35">
      <c r="A417" s="27">
        <f t="shared" si="59"/>
        <v>2020</v>
      </c>
      <c r="B417" s="27" t="str">
        <f t="shared" si="60"/>
        <v>OUT</v>
      </c>
      <c r="C417" s="28">
        <v>44114</v>
      </c>
      <c r="D417" s="29" t="s">
        <v>22</v>
      </c>
      <c r="E417" s="29" t="s">
        <v>26</v>
      </c>
      <c r="F417" s="29" t="s">
        <v>9</v>
      </c>
      <c r="G417" s="29" t="s">
        <v>30</v>
      </c>
      <c r="H417" s="30">
        <v>2543</v>
      </c>
      <c r="I417" s="23">
        <f>SUM(H417*VLOOKUP(G417,Tabela1[],2,FALSE))</f>
        <v>12715</v>
      </c>
    </row>
    <row r="418" spans="1:9" x14ac:dyDescent="0.35">
      <c r="A418" s="1">
        <f t="shared" si="59"/>
        <v>2020</v>
      </c>
      <c r="B418" s="1" t="str">
        <f t="shared" si="60"/>
        <v>MAI</v>
      </c>
      <c r="C418" s="13">
        <v>43967</v>
      </c>
      <c r="D418" t="s">
        <v>21</v>
      </c>
      <c r="E418" t="s">
        <v>26</v>
      </c>
      <c r="F418" t="s">
        <v>11</v>
      </c>
      <c r="G418" t="s">
        <v>30</v>
      </c>
      <c r="H418" s="7">
        <v>1880</v>
      </c>
      <c r="I418" s="23">
        <f>SUM(H418*VLOOKUP(G418,Tabela1[],2,FALSE))</f>
        <v>9400</v>
      </c>
    </row>
    <row r="419" spans="1:9" x14ac:dyDescent="0.35">
      <c r="A419" s="1">
        <f t="shared" si="59"/>
        <v>2020</v>
      </c>
      <c r="B419" s="1" t="str">
        <f t="shared" si="60"/>
        <v>SET</v>
      </c>
      <c r="C419" s="13">
        <v>44084</v>
      </c>
      <c r="D419" t="s">
        <v>22</v>
      </c>
      <c r="E419" t="s">
        <v>26</v>
      </c>
      <c r="F419" t="s">
        <v>9</v>
      </c>
      <c r="G419" t="s">
        <v>30</v>
      </c>
      <c r="H419" s="7">
        <v>2543</v>
      </c>
      <c r="I419" s="23">
        <f>SUM(H419*VLOOKUP(G419,Tabela1[],2,FALSE))</f>
        <v>12715</v>
      </c>
    </row>
    <row r="420" spans="1:9" x14ac:dyDescent="0.35">
      <c r="A420" s="1">
        <f t="shared" si="59"/>
        <v>2020</v>
      </c>
      <c r="B420" s="1" t="str">
        <f t="shared" si="60"/>
        <v>MAR</v>
      </c>
      <c r="C420" s="13">
        <v>43899</v>
      </c>
      <c r="D420" t="s">
        <v>20</v>
      </c>
      <c r="E420" t="s">
        <v>48</v>
      </c>
      <c r="F420" t="s">
        <v>12</v>
      </c>
      <c r="G420" t="s">
        <v>30</v>
      </c>
      <c r="H420" s="7">
        <v>1308</v>
      </c>
      <c r="I420" s="23">
        <f>SUM(H420*VLOOKUP(G420,Tabela1[],2,FALSE))</f>
        <v>6540</v>
      </c>
    </row>
    <row r="421" spans="1:9" x14ac:dyDescent="0.35">
      <c r="A421" s="1">
        <f t="shared" si="59"/>
        <v>2020</v>
      </c>
      <c r="B421" s="1" t="str">
        <f t="shared" si="60"/>
        <v>JUN</v>
      </c>
      <c r="C421" s="13">
        <v>43992</v>
      </c>
      <c r="D421" t="s">
        <v>20</v>
      </c>
      <c r="E421" t="s">
        <v>46</v>
      </c>
      <c r="F421" t="s">
        <v>12</v>
      </c>
      <c r="G421" t="s">
        <v>30</v>
      </c>
      <c r="H421" s="7">
        <v>3013</v>
      </c>
      <c r="I421" s="23">
        <f>SUM(H421*VLOOKUP(G421,Tabela1[],2,FALSE))</f>
        <v>15065</v>
      </c>
    </row>
    <row r="422" spans="1:9" x14ac:dyDescent="0.35">
      <c r="A422" s="1">
        <f t="shared" si="59"/>
        <v>2020</v>
      </c>
      <c r="B422" s="1" t="str">
        <f t="shared" si="60"/>
        <v>DEZ</v>
      </c>
      <c r="C422" s="13">
        <v>44170</v>
      </c>
      <c r="D422" t="s">
        <v>20</v>
      </c>
      <c r="E422" t="s">
        <v>26</v>
      </c>
      <c r="F422" t="s">
        <v>10</v>
      </c>
      <c r="G422" t="s">
        <v>27</v>
      </c>
      <c r="H422" s="15">
        <v>1778</v>
      </c>
      <c r="I422" s="20">
        <f>SUM(H422*VLOOKUP(G422,Tabela1[],2,FALSE))</f>
        <v>88900</v>
      </c>
    </row>
    <row r="423" spans="1:9" x14ac:dyDescent="0.35">
      <c r="A423" s="1">
        <f t="shared" si="59"/>
        <v>2020</v>
      </c>
      <c r="B423" s="1" t="str">
        <f t="shared" si="60"/>
        <v>DEZ</v>
      </c>
      <c r="C423" s="13">
        <v>44193</v>
      </c>
      <c r="D423" t="s">
        <v>20</v>
      </c>
      <c r="E423" t="s">
        <v>24</v>
      </c>
      <c r="F423" t="s">
        <v>11</v>
      </c>
      <c r="G423" t="s">
        <v>27</v>
      </c>
      <c r="H423" s="15">
        <v>4471</v>
      </c>
      <c r="I423" s="16">
        <f>SUM(H423*VLOOKUP(G423,Tabela1[],2,FALSE))</f>
        <v>223550</v>
      </c>
    </row>
    <row r="424" spans="1:9" x14ac:dyDescent="0.35">
      <c r="A424" s="1">
        <f t="shared" si="59"/>
        <v>2020</v>
      </c>
      <c r="B424" s="1" t="str">
        <f t="shared" si="60"/>
        <v>OUT</v>
      </c>
      <c r="C424" s="13">
        <v>44112</v>
      </c>
      <c r="D424" s="14" t="s">
        <v>21</v>
      </c>
      <c r="E424" t="s">
        <v>45</v>
      </c>
      <c r="F424" t="s">
        <v>14</v>
      </c>
      <c r="G424" t="s">
        <v>28</v>
      </c>
      <c r="H424" s="15">
        <v>2178</v>
      </c>
      <c r="I424" s="16">
        <f>SUM(H424*VLOOKUP(G424,Tabela1[],2,FALSE))</f>
        <v>108900</v>
      </c>
    </row>
    <row r="425" spans="1:9" x14ac:dyDescent="0.35">
      <c r="A425" s="1">
        <f t="shared" si="59"/>
        <v>2020</v>
      </c>
      <c r="B425" s="1" t="str">
        <f t="shared" si="60"/>
        <v>NOV</v>
      </c>
      <c r="C425" s="13">
        <v>44141</v>
      </c>
      <c r="D425" s="14" t="s">
        <v>21</v>
      </c>
      <c r="E425" t="s">
        <v>49</v>
      </c>
      <c r="F425" t="s">
        <v>10</v>
      </c>
      <c r="G425" t="s">
        <v>31</v>
      </c>
      <c r="H425" s="15">
        <v>2446</v>
      </c>
      <c r="I425" s="16">
        <f>SUM(H425*VLOOKUP(G425,Tabela1[],2,FALSE))</f>
        <v>122300</v>
      </c>
    </row>
    <row r="426" spans="1:9" x14ac:dyDescent="0.35">
      <c r="A426" s="1">
        <f t="shared" si="59"/>
        <v>2020</v>
      </c>
      <c r="B426" s="1" t="str">
        <f t="shared" si="60"/>
        <v>MAI</v>
      </c>
      <c r="C426" s="13">
        <v>43976</v>
      </c>
      <c r="D426" t="s">
        <v>20</v>
      </c>
      <c r="E426" t="s">
        <v>26</v>
      </c>
      <c r="F426" t="s">
        <v>10</v>
      </c>
      <c r="G426" t="s">
        <v>31</v>
      </c>
      <c r="H426" s="15">
        <v>1500</v>
      </c>
      <c r="I426" s="20">
        <f>SUM(H426*VLOOKUP(G426,Tabela1[],2,FALSE))</f>
        <v>75000</v>
      </c>
    </row>
    <row r="427" spans="1:9" x14ac:dyDescent="0.35">
      <c r="A427" s="1">
        <f t="shared" si="59"/>
        <v>2020</v>
      </c>
      <c r="B427" s="1" t="str">
        <f t="shared" si="60"/>
        <v>MAR</v>
      </c>
      <c r="C427" s="13">
        <v>43915</v>
      </c>
      <c r="D427" t="s">
        <v>21</v>
      </c>
      <c r="E427" t="s">
        <v>24</v>
      </c>
      <c r="F427" t="s">
        <v>11</v>
      </c>
      <c r="G427" t="s">
        <v>28</v>
      </c>
      <c r="H427" s="15">
        <v>2636</v>
      </c>
      <c r="I427" s="20">
        <f>SUM(H427*VLOOKUP(G427,Tabela1[],2,FALSE))</f>
        <v>131800</v>
      </c>
    </row>
    <row r="428" spans="1:9" x14ac:dyDescent="0.35">
      <c r="A428" s="1">
        <f t="shared" si="59"/>
        <v>2020</v>
      </c>
      <c r="B428" s="1" t="str">
        <f t="shared" si="60"/>
        <v>JAN</v>
      </c>
      <c r="C428" s="13">
        <v>43847</v>
      </c>
      <c r="D428" t="s">
        <v>20</v>
      </c>
      <c r="E428" t="s">
        <v>49</v>
      </c>
      <c r="F428" t="s">
        <v>9</v>
      </c>
      <c r="G428" t="s">
        <v>27</v>
      </c>
      <c r="H428" s="15">
        <v>4650</v>
      </c>
      <c r="I428" s="16">
        <f>SUM(H428*VLOOKUP(G428,Tabela1[],2,FALSE))</f>
        <v>232500</v>
      </c>
    </row>
    <row r="429" spans="1:9" x14ac:dyDescent="0.35">
      <c r="A429" s="1">
        <f t="shared" si="59"/>
        <v>2020</v>
      </c>
      <c r="B429" s="1" t="str">
        <f t="shared" si="60"/>
        <v>JUL</v>
      </c>
      <c r="C429" s="13">
        <v>44041</v>
      </c>
      <c r="D429" t="s">
        <v>20</v>
      </c>
      <c r="E429" t="s">
        <v>23</v>
      </c>
      <c r="F429" t="s">
        <v>10</v>
      </c>
      <c r="G429" t="s">
        <v>28</v>
      </c>
      <c r="H429" s="15">
        <v>614</v>
      </c>
      <c r="I429" s="16">
        <f>SUM(H429*VLOOKUP(G429,Tabela1[],2,FALSE))</f>
        <v>30700</v>
      </c>
    </row>
    <row r="430" spans="1:9" x14ac:dyDescent="0.35">
      <c r="A430" s="1">
        <f t="shared" si="59"/>
        <v>2020</v>
      </c>
      <c r="B430" s="1" t="str">
        <f t="shared" si="60"/>
        <v>AGO</v>
      </c>
      <c r="C430" s="13">
        <v>44071</v>
      </c>
      <c r="D430" t="s">
        <v>20</v>
      </c>
      <c r="E430" t="s">
        <v>26</v>
      </c>
      <c r="F430" t="s">
        <v>10</v>
      </c>
      <c r="G430" t="s">
        <v>31</v>
      </c>
      <c r="H430" s="15">
        <v>2000</v>
      </c>
      <c r="I430" s="16">
        <f>SUM(H430*VLOOKUP(G430,Tabela1[],2,FALSE))</f>
        <v>100000</v>
      </c>
    </row>
    <row r="431" spans="1:9" x14ac:dyDescent="0.35">
      <c r="A431" s="1">
        <f t="shared" si="59"/>
        <v>2020</v>
      </c>
      <c r="B431" s="1" t="str">
        <f t="shared" si="60"/>
        <v>AGO</v>
      </c>
      <c r="C431" s="13">
        <v>44050</v>
      </c>
      <c r="D431" t="s">
        <v>20</v>
      </c>
      <c r="E431" t="s">
        <v>24</v>
      </c>
      <c r="F431" t="s">
        <v>11</v>
      </c>
      <c r="G431" t="s">
        <v>31</v>
      </c>
      <c r="H431" s="15">
        <v>1200</v>
      </c>
      <c r="I431" s="20">
        <f>SUM(H431*VLOOKUP(G431,Tabela1[],2,FALSE))</f>
        <v>60000</v>
      </c>
    </row>
    <row r="432" spans="1:9" x14ac:dyDescent="0.35">
      <c r="A432" s="27">
        <f t="shared" si="59"/>
        <v>2020</v>
      </c>
      <c r="B432" s="27" t="str">
        <f t="shared" si="60"/>
        <v>NOV</v>
      </c>
      <c r="C432" s="28">
        <v>44150</v>
      </c>
      <c r="D432" s="29" t="s">
        <v>20</v>
      </c>
      <c r="E432" s="29" t="s">
        <v>46</v>
      </c>
      <c r="F432" s="29" t="s">
        <v>9</v>
      </c>
      <c r="G432" s="29" t="s">
        <v>31</v>
      </c>
      <c r="H432" s="44">
        <v>1200</v>
      </c>
      <c r="I432" s="23">
        <f>SUM(H432*VLOOKUP(G432,Tabela1[],2,FALSE))</f>
        <v>60000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20C2-5EEF-4C9A-B074-6FC9A455F1A1}">
  <dimension ref="A1"/>
  <sheetViews>
    <sheetView showGridLines="0" showRowColHeaders="0" topLeftCell="A8" zoomScale="55" zoomScaleNormal="55" workbookViewId="0"/>
  </sheetViews>
  <sheetFormatPr defaultRowHeight="14.5" x14ac:dyDescent="0.35"/>
  <sheetData/>
  <sheetProtection sheet="1" objects="1" scenarios="1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D6E24-D409-43C4-AAC0-955EB860E38F}">
  <dimension ref="A1"/>
  <sheetViews>
    <sheetView showGridLines="0" showRowColHeaders="0" tabSelected="1" zoomScale="70" zoomScaleNormal="70" workbookViewId="0"/>
  </sheetViews>
  <sheetFormatPr defaultRowHeight="14.5" x14ac:dyDescent="0.35"/>
  <sheetData/>
  <sheetProtection algorithmName="SHA-512" hashValue="hfGAONkZX5doy1+cFFjMQ5cZmsUY3Adfcq0xD4iPVBlVaf3uf/WFQmhZJStDK6//yqz/Ht0iBNmgIV2/4+jlTw==" saltValue="pcuafD+gOJLUjeJCPCasWQ==" spinCount="100000" sheet="1" objects="1" scenarios="1"/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E935-B464-4D70-94F6-6E5D26BC8E7C}">
  <dimension ref="A1"/>
  <sheetViews>
    <sheetView showGridLines="0" showRowColHeaders="0" zoomScaleNormal="100"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A1A97-5D57-43A4-8862-1BAC3CDD6406}">
  <dimension ref="A1:BE42"/>
  <sheetViews>
    <sheetView zoomScale="85" zoomScaleNormal="85" workbookViewId="0">
      <selection activeCell="I34" sqref="I34"/>
    </sheetView>
  </sheetViews>
  <sheetFormatPr defaultRowHeight="14.5" x14ac:dyDescent="0.35"/>
  <cols>
    <col min="1" max="1" width="27.1796875" customWidth="1"/>
    <col min="9" max="9" width="25.7265625" bestFit="1" customWidth="1"/>
    <col min="10" max="10" width="25.7265625" customWidth="1"/>
    <col min="11" max="11" width="10.54296875" customWidth="1"/>
    <col min="12" max="12" width="18" bestFit="1" customWidth="1"/>
    <col min="13" max="13" width="19" bestFit="1" customWidth="1"/>
    <col min="15" max="15" width="25.7265625" bestFit="1" customWidth="1"/>
    <col min="16" max="16" width="19.54296875" bestFit="1" customWidth="1"/>
    <col min="17" max="17" width="10.7265625" bestFit="1" customWidth="1"/>
    <col min="18" max="18" width="11" bestFit="1" customWidth="1"/>
    <col min="19" max="19" width="10.7265625" bestFit="1" customWidth="1"/>
    <col min="20" max="20" width="18" bestFit="1" customWidth="1"/>
    <col min="21" max="21" width="25.7265625" bestFit="1" customWidth="1"/>
    <col min="22" max="23" width="10.7265625" customWidth="1"/>
    <col min="24" max="24" width="19.453125" bestFit="1" customWidth="1"/>
    <col min="25" max="25" width="25.7265625" bestFit="1" customWidth="1"/>
    <col min="26" max="26" width="8.81640625" customWidth="1"/>
    <col min="27" max="27" width="19.453125" bestFit="1" customWidth="1"/>
    <col min="28" max="28" width="19" bestFit="1" customWidth="1"/>
    <col min="29" max="29" width="19.54296875" bestFit="1" customWidth="1"/>
    <col min="30" max="30" width="18" bestFit="1" customWidth="1"/>
    <col min="31" max="31" width="19" bestFit="1" customWidth="1"/>
    <col min="32" max="32" width="10.7265625" bestFit="1" customWidth="1"/>
    <col min="33" max="33" width="19" bestFit="1" customWidth="1"/>
    <col min="34" max="34" width="19.54296875" bestFit="1" customWidth="1"/>
    <col min="35" max="37" width="16.453125" bestFit="1" customWidth="1"/>
    <col min="38" max="45" width="15.453125" bestFit="1" customWidth="1"/>
    <col min="46" max="46" width="16.453125" bestFit="1" customWidth="1"/>
    <col min="48" max="48" width="18" bestFit="1" customWidth="1"/>
    <col min="49" max="49" width="19" bestFit="1" customWidth="1"/>
    <col min="51" max="51" width="18" bestFit="1" customWidth="1"/>
    <col min="52" max="52" width="19" bestFit="1" customWidth="1"/>
    <col min="54" max="54" width="19" bestFit="1" customWidth="1"/>
  </cols>
  <sheetData>
    <row r="1" spans="1:57" x14ac:dyDescent="0.35">
      <c r="L1" t="s">
        <v>71</v>
      </c>
      <c r="M1">
        <v>10</v>
      </c>
      <c r="P1" s="59" t="s">
        <v>20</v>
      </c>
      <c r="Q1" s="60">
        <f>GETPIVOTDATA("VALOR - R$",$L$10,"EMPRESA","EMPRESA A")</f>
        <v>7062335</v>
      </c>
      <c r="R1" s="61" t="str">
        <f>IF(Q1=MAX($Q$1:$Q$3),"%","")</f>
        <v/>
      </c>
      <c r="S1" s="40"/>
      <c r="T1" s="40"/>
      <c r="U1" s="40"/>
      <c r="V1" s="40"/>
      <c r="W1" s="40"/>
      <c r="AV1" s="53" t="s">
        <v>12</v>
      </c>
      <c r="AW1" s="54" t="s">
        <v>79</v>
      </c>
    </row>
    <row r="2" spans="1:57" x14ac:dyDescent="0.35">
      <c r="A2" t="s">
        <v>32</v>
      </c>
      <c r="H2" t="s">
        <v>51</v>
      </c>
      <c r="I2" s="3">
        <v>19173770</v>
      </c>
      <c r="J2">
        <v>100</v>
      </c>
      <c r="L2" t="s">
        <v>51</v>
      </c>
      <c r="M2" s="3">
        <v>31909620</v>
      </c>
      <c r="P2" s="62" t="s">
        <v>21</v>
      </c>
      <c r="Q2" s="63">
        <f>GETPIVOTDATA("VALOR - R$",$L$10,"EMPRESA","EMPRESA B")</f>
        <v>8655210</v>
      </c>
      <c r="R2" s="64" t="str">
        <f>IF(Q2=MAX($Q$1:$Q$3),"%","")</f>
        <v>%</v>
      </c>
      <c r="AG2" s="4" t="s">
        <v>18</v>
      </c>
      <c r="AH2" s="4" t="s">
        <v>19</v>
      </c>
      <c r="AV2" s="55" t="s">
        <v>9</v>
      </c>
      <c r="AW2" s="56" t="s">
        <v>80</v>
      </c>
    </row>
    <row r="3" spans="1:57" x14ac:dyDescent="0.35">
      <c r="A3" t="s">
        <v>33</v>
      </c>
      <c r="H3" t="s">
        <v>52</v>
      </c>
      <c r="I3" s="3">
        <f>GETPIVOTDATA("VALOR - R$",$AG$2,"ANO",2020)</f>
        <v>23431865</v>
      </c>
      <c r="J3">
        <v>100</v>
      </c>
      <c r="L3" t="s">
        <v>70</v>
      </c>
      <c r="M3" s="8">
        <f>M2+(M1*M2)/100</f>
        <v>35100582</v>
      </c>
      <c r="P3" s="65" t="s">
        <v>22</v>
      </c>
      <c r="Q3" s="66">
        <f>GETPIVOTDATA("VALOR - R$",$L$10,"EMPRESA","EMPRESA C")</f>
        <v>7714320</v>
      </c>
      <c r="R3" s="67" t="str">
        <f>IF(Q3=MAX($Q$1:$Q$3),"%","")</f>
        <v/>
      </c>
      <c r="AG3" s="4" t="s">
        <v>15</v>
      </c>
      <c r="AH3" t="s">
        <v>58</v>
      </c>
      <c r="AI3" t="s">
        <v>59</v>
      </c>
      <c r="AJ3" t="s">
        <v>60</v>
      </c>
      <c r="AK3" t="s">
        <v>61</v>
      </c>
      <c r="AL3" t="s">
        <v>62</v>
      </c>
      <c r="AM3" t="s">
        <v>63</v>
      </c>
      <c r="AN3" t="s">
        <v>64</v>
      </c>
      <c r="AO3" t="s">
        <v>65</v>
      </c>
      <c r="AP3" t="s">
        <v>66</v>
      </c>
      <c r="AQ3" t="s">
        <v>67</v>
      </c>
      <c r="AR3" t="s">
        <v>68</v>
      </c>
      <c r="AS3" t="s">
        <v>69</v>
      </c>
      <c r="AT3" t="s">
        <v>16</v>
      </c>
      <c r="AU3" s="4"/>
      <c r="AV3" s="55" t="s">
        <v>13</v>
      </c>
      <c r="AW3" s="56" t="s">
        <v>81</v>
      </c>
      <c r="AX3" s="4"/>
      <c r="AY3" s="4"/>
      <c r="AZ3" s="4"/>
      <c r="BA3" s="4"/>
      <c r="BB3" s="4"/>
      <c r="BC3" s="4"/>
      <c r="BD3" s="4"/>
      <c r="BE3" s="4"/>
    </row>
    <row r="4" spans="1:57" x14ac:dyDescent="0.35">
      <c r="H4" t="s">
        <v>53</v>
      </c>
      <c r="I4" s="8">
        <f>I3-I2</f>
        <v>4258095</v>
      </c>
      <c r="J4" s="8">
        <f>J3-J2</f>
        <v>0</v>
      </c>
      <c r="L4" t="s">
        <v>52</v>
      </c>
      <c r="M4" s="8">
        <f>I3</f>
        <v>23431865</v>
      </c>
      <c r="O4" s="25">
        <f>I3/I2</f>
        <v>1.2220791737879404</v>
      </c>
      <c r="AG4" s="5">
        <v>2019</v>
      </c>
      <c r="AH4" s="8">
        <v>1322235</v>
      </c>
      <c r="AI4" s="8">
        <v>1900635</v>
      </c>
      <c r="AJ4" s="8">
        <v>1030820</v>
      </c>
      <c r="AK4" s="8">
        <v>1031445</v>
      </c>
      <c r="AL4" s="8">
        <v>1811270</v>
      </c>
      <c r="AM4" s="8">
        <v>1303380</v>
      </c>
      <c r="AN4" s="8">
        <v>2056345</v>
      </c>
      <c r="AO4" s="8">
        <v>1117690</v>
      </c>
      <c r="AP4" s="8">
        <v>1264525</v>
      </c>
      <c r="AQ4" s="8">
        <v>2364430</v>
      </c>
      <c r="AR4" s="8">
        <v>1815295</v>
      </c>
      <c r="AS4" s="8">
        <v>2155700</v>
      </c>
      <c r="AT4" s="8">
        <v>19173770</v>
      </c>
      <c r="AV4" s="55" t="s">
        <v>10</v>
      </c>
      <c r="AW4" s="56" t="s">
        <v>82</v>
      </c>
    </row>
    <row r="5" spans="1:57" x14ac:dyDescent="0.35">
      <c r="A5" t="s">
        <v>34</v>
      </c>
      <c r="H5" t="s">
        <v>76</v>
      </c>
      <c r="I5" s="25">
        <f>I4/I2</f>
        <v>0.22207917378794051</v>
      </c>
      <c r="J5" s="25">
        <f>J4/J2</f>
        <v>0</v>
      </c>
      <c r="L5" t="s">
        <v>72</v>
      </c>
      <c r="M5" s="8">
        <f>M3-M4</f>
        <v>11668717</v>
      </c>
      <c r="AG5" s="5">
        <v>2020</v>
      </c>
      <c r="AH5" s="8">
        <v>2780580</v>
      </c>
      <c r="AI5" s="8">
        <v>1605930</v>
      </c>
      <c r="AJ5" s="8">
        <v>2653610</v>
      </c>
      <c r="AK5" s="8">
        <v>1426595</v>
      </c>
      <c r="AL5" s="8">
        <v>842840</v>
      </c>
      <c r="AM5" s="8">
        <v>1513815</v>
      </c>
      <c r="AN5" s="8">
        <v>1543075</v>
      </c>
      <c r="AO5" s="8">
        <v>1128030</v>
      </c>
      <c r="AP5" s="8">
        <v>1484045</v>
      </c>
      <c r="AQ5" s="8">
        <v>3146840</v>
      </c>
      <c r="AR5" s="8">
        <v>2231925</v>
      </c>
      <c r="AS5" s="8">
        <v>3074580</v>
      </c>
      <c r="AT5" s="8">
        <v>23431865</v>
      </c>
      <c r="AV5" s="55" t="s">
        <v>14</v>
      </c>
      <c r="AW5" s="56" t="s">
        <v>83</v>
      </c>
    </row>
    <row r="6" spans="1:57" x14ac:dyDescent="0.35">
      <c r="A6" t="s">
        <v>35</v>
      </c>
      <c r="H6" t="s">
        <v>54</v>
      </c>
      <c r="I6" s="34" t="str">
        <f>H5&amp;"  " &amp;TEXT(I5,"#%")</f>
        <v>% ANO ANTERIOR:  22%</v>
      </c>
      <c r="J6" s="35" t="str">
        <f>IF(I3&gt;I2,J7,I7)</f>
        <v>p</v>
      </c>
      <c r="L6" s="39" t="s">
        <v>71</v>
      </c>
      <c r="M6" s="25">
        <f>M4/M3</f>
        <v>0.66756343242399796</v>
      </c>
      <c r="AG6" s="5" t="s">
        <v>16</v>
      </c>
      <c r="AH6" s="8">
        <v>4102815</v>
      </c>
      <c r="AI6" s="8">
        <v>3506565</v>
      </c>
      <c r="AJ6" s="8">
        <v>3684430</v>
      </c>
      <c r="AK6" s="8">
        <v>2458040</v>
      </c>
      <c r="AL6" s="8">
        <v>2654110</v>
      </c>
      <c r="AM6" s="8">
        <v>2817195</v>
      </c>
      <c r="AN6" s="8">
        <v>3599420</v>
      </c>
      <c r="AO6" s="8">
        <v>2245720</v>
      </c>
      <c r="AP6" s="8">
        <v>2748570</v>
      </c>
      <c r="AQ6" s="8">
        <v>5511270</v>
      </c>
      <c r="AR6" s="8">
        <v>4047220</v>
      </c>
      <c r="AS6" s="8">
        <v>5230280</v>
      </c>
      <c r="AT6" s="8">
        <v>42605635</v>
      </c>
      <c r="AV6" s="57" t="s">
        <v>11</v>
      </c>
      <c r="AW6" s="58" t="s">
        <v>84</v>
      </c>
    </row>
    <row r="7" spans="1:57" x14ac:dyDescent="0.35">
      <c r="H7" s="31" t="s">
        <v>57</v>
      </c>
      <c r="I7" s="32" t="s">
        <v>56</v>
      </c>
      <c r="J7" s="32" t="s">
        <v>55</v>
      </c>
      <c r="O7" t="s">
        <v>43</v>
      </c>
      <c r="X7" t="s">
        <v>44</v>
      </c>
    </row>
    <row r="8" spans="1:57" x14ac:dyDescent="0.35">
      <c r="I8" s="26"/>
      <c r="J8" s="26"/>
      <c r="L8" s="4" t="s">
        <v>0</v>
      </c>
      <c r="M8" s="5">
        <v>2020</v>
      </c>
      <c r="AA8" s="4" t="s">
        <v>0</v>
      </c>
      <c r="AB8" s="5">
        <v>2020</v>
      </c>
      <c r="AD8" s="4" t="s">
        <v>15</v>
      </c>
      <c r="AE8" t="s">
        <v>18</v>
      </c>
      <c r="AG8" t="s">
        <v>73</v>
      </c>
      <c r="AT8" s="8"/>
    </row>
    <row r="9" spans="1:57" x14ac:dyDescent="0.35">
      <c r="A9" t="s">
        <v>36</v>
      </c>
      <c r="T9" s="4" t="s">
        <v>15</v>
      </c>
      <c r="U9" t="s">
        <v>17</v>
      </c>
      <c r="V9" s="4"/>
      <c r="AD9" s="5" t="s">
        <v>26</v>
      </c>
      <c r="AE9" s="50">
        <v>7802890</v>
      </c>
      <c r="AH9" t="s">
        <v>58</v>
      </c>
      <c r="AI9" t="s">
        <v>59</v>
      </c>
      <c r="AJ9" t="s">
        <v>60</v>
      </c>
      <c r="AK9" t="s">
        <v>61</v>
      </c>
      <c r="AL9" t="s">
        <v>62</v>
      </c>
      <c r="AM9" t="s">
        <v>63</v>
      </c>
      <c r="AN9" t="s">
        <v>64</v>
      </c>
      <c r="AO9" t="s">
        <v>65</v>
      </c>
      <c r="AP9" t="s">
        <v>66</v>
      </c>
      <c r="AQ9" t="s">
        <v>67</v>
      </c>
      <c r="AR9" t="s">
        <v>68</v>
      </c>
      <c r="AS9" t="s">
        <v>69</v>
      </c>
      <c r="AT9" s="8"/>
    </row>
    <row r="10" spans="1:57" x14ac:dyDescent="0.35">
      <c r="H10" s="4" t="s">
        <v>15</v>
      </c>
      <c r="I10" t="s">
        <v>17</v>
      </c>
      <c r="L10" s="4" t="s">
        <v>15</v>
      </c>
      <c r="M10" t="s">
        <v>18</v>
      </c>
      <c r="O10" s="4" t="s">
        <v>17</v>
      </c>
      <c r="P10" s="4" t="s">
        <v>19</v>
      </c>
      <c r="T10" s="5">
        <v>2019</v>
      </c>
      <c r="U10" s="11">
        <v>535113</v>
      </c>
      <c r="X10" s="4" t="s">
        <v>15</v>
      </c>
      <c r="Y10" t="s">
        <v>17</v>
      </c>
      <c r="Z10" s="4"/>
      <c r="AA10" s="4" t="s">
        <v>15</v>
      </c>
      <c r="AB10" t="s">
        <v>18</v>
      </c>
      <c r="AD10" s="5" t="s">
        <v>24</v>
      </c>
      <c r="AE10" s="50">
        <v>5946645</v>
      </c>
      <c r="AG10" s="4">
        <v>2020</v>
      </c>
      <c r="AH10" s="48">
        <f t="shared" ref="AH10:AS10" si="0">VLOOKUP($AG$10,$AG$4:$AT$5,MATCH(AH9,$AG$3:$AT$3,0),FALSE)</f>
        <v>2780580</v>
      </c>
      <c r="AI10" s="48">
        <f t="shared" si="0"/>
        <v>1605930</v>
      </c>
      <c r="AJ10" s="48">
        <f t="shared" si="0"/>
        <v>2653610</v>
      </c>
      <c r="AK10" s="48">
        <f t="shared" si="0"/>
        <v>1426595</v>
      </c>
      <c r="AL10" s="48">
        <f t="shared" si="0"/>
        <v>842840</v>
      </c>
      <c r="AM10" s="48">
        <f t="shared" si="0"/>
        <v>1513815</v>
      </c>
      <c r="AN10" s="48">
        <f t="shared" si="0"/>
        <v>1543075</v>
      </c>
      <c r="AO10" s="48">
        <f t="shared" si="0"/>
        <v>1128030</v>
      </c>
      <c r="AP10" s="48">
        <f t="shared" si="0"/>
        <v>1484045</v>
      </c>
      <c r="AQ10" s="48">
        <f t="shared" si="0"/>
        <v>3146840</v>
      </c>
      <c r="AR10" s="48">
        <f t="shared" si="0"/>
        <v>2231925</v>
      </c>
      <c r="AS10" s="48">
        <f t="shared" si="0"/>
        <v>3074580</v>
      </c>
      <c r="AT10" s="49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</row>
    <row r="11" spans="1:57" x14ac:dyDescent="0.35">
      <c r="A11" t="s">
        <v>37</v>
      </c>
      <c r="H11" s="5" t="s">
        <v>20</v>
      </c>
      <c r="I11" s="11">
        <v>299629</v>
      </c>
      <c r="J11" s="9"/>
      <c r="L11" s="5" t="s">
        <v>20</v>
      </c>
      <c r="M11" s="36">
        <v>7062335</v>
      </c>
      <c r="N11" s="8"/>
      <c r="O11" s="4" t="s">
        <v>15</v>
      </c>
      <c r="P11" t="s">
        <v>20</v>
      </c>
      <c r="Q11" t="s">
        <v>16</v>
      </c>
      <c r="T11" s="5">
        <v>2020</v>
      </c>
      <c r="U11" s="11">
        <v>628609</v>
      </c>
      <c r="X11" s="5" t="s">
        <v>27</v>
      </c>
      <c r="Y11" s="11">
        <v>258426</v>
      </c>
      <c r="AA11" s="5" t="s">
        <v>30</v>
      </c>
      <c r="AB11" s="36">
        <v>1021215</v>
      </c>
      <c r="AD11" s="5" t="s">
        <v>48</v>
      </c>
      <c r="AE11" s="50">
        <v>5780650</v>
      </c>
      <c r="AG11">
        <f>AG10</f>
        <v>2020</v>
      </c>
      <c r="AH11" s="36">
        <f t="shared" ref="AH11:AS11" si="1">AH10</f>
        <v>2780580</v>
      </c>
      <c r="AI11" s="36">
        <f>AI10</f>
        <v>1605930</v>
      </c>
      <c r="AJ11" s="36">
        <f t="shared" si="1"/>
        <v>2653610</v>
      </c>
      <c r="AK11" s="36">
        <f t="shared" si="1"/>
        <v>1426595</v>
      </c>
      <c r="AL11" s="36">
        <f t="shared" si="1"/>
        <v>842840</v>
      </c>
      <c r="AM11" s="36">
        <f t="shared" si="1"/>
        <v>1513815</v>
      </c>
      <c r="AN11" s="36">
        <f t="shared" si="1"/>
        <v>1543075</v>
      </c>
      <c r="AO11" s="36">
        <f t="shared" si="1"/>
        <v>1128030</v>
      </c>
      <c r="AP11" s="36">
        <f t="shared" si="1"/>
        <v>1484045</v>
      </c>
      <c r="AQ11" s="36">
        <f t="shared" si="1"/>
        <v>3146840</v>
      </c>
      <c r="AR11" s="36">
        <f t="shared" si="1"/>
        <v>2231925</v>
      </c>
      <c r="AS11" s="36">
        <f t="shared" si="1"/>
        <v>3074580</v>
      </c>
      <c r="AT11" s="8"/>
      <c r="AV11" s="4" t="s">
        <v>15</v>
      </c>
      <c r="AW11" t="s">
        <v>18</v>
      </c>
      <c r="AY11" s="4" t="s">
        <v>15</v>
      </c>
      <c r="AZ11" t="s">
        <v>18</v>
      </c>
      <c r="BB11" t="s">
        <v>18</v>
      </c>
    </row>
    <row r="12" spans="1:57" x14ac:dyDescent="0.35">
      <c r="H12" s="5" t="s">
        <v>21</v>
      </c>
      <c r="I12" s="11">
        <v>479660</v>
      </c>
      <c r="J12" s="9"/>
      <c r="L12" s="5" t="s">
        <v>21</v>
      </c>
      <c r="M12" s="36">
        <v>8655210</v>
      </c>
      <c r="N12" s="8"/>
      <c r="O12" s="5" t="s">
        <v>29</v>
      </c>
      <c r="P12" s="6">
        <v>58134</v>
      </c>
      <c r="Q12" s="6">
        <v>58134</v>
      </c>
      <c r="T12" s="5" t="s">
        <v>16</v>
      </c>
      <c r="U12" s="11">
        <v>1163722</v>
      </c>
      <c r="X12" s="5" t="s">
        <v>28</v>
      </c>
      <c r="Y12" s="11">
        <v>166774</v>
      </c>
      <c r="AA12" s="5" t="s">
        <v>31</v>
      </c>
      <c r="AB12" s="36">
        <v>3653550</v>
      </c>
      <c r="AD12" s="5" t="s">
        <v>49</v>
      </c>
      <c r="AE12" s="50">
        <v>5215160</v>
      </c>
      <c r="AG12">
        <v>2019</v>
      </c>
      <c r="AH12" s="36">
        <f t="shared" ref="AH12:AS12" si="2">VLOOKUP($AG$12,$AG$4:$AT$5,MATCH(AH9,$AG$3:$AT$3,0),FALSE)</f>
        <v>1322235</v>
      </c>
      <c r="AI12" s="36">
        <f t="shared" si="2"/>
        <v>1900635</v>
      </c>
      <c r="AJ12" s="36">
        <f t="shared" si="2"/>
        <v>1030820</v>
      </c>
      <c r="AK12" s="36">
        <f t="shared" si="2"/>
        <v>1031445</v>
      </c>
      <c r="AL12" s="36">
        <f t="shared" si="2"/>
        <v>1811270</v>
      </c>
      <c r="AM12" s="36">
        <f t="shared" si="2"/>
        <v>1303380</v>
      </c>
      <c r="AN12" s="36">
        <f t="shared" si="2"/>
        <v>2056345</v>
      </c>
      <c r="AO12" s="36">
        <f t="shared" si="2"/>
        <v>1117690</v>
      </c>
      <c r="AP12" s="36">
        <f t="shared" si="2"/>
        <v>1264525</v>
      </c>
      <c r="AQ12" s="36">
        <f t="shared" si="2"/>
        <v>2364430</v>
      </c>
      <c r="AR12" s="36">
        <f t="shared" si="2"/>
        <v>1815295</v>
      </c>
      <c r="AS12" s="36">
        <f t="shared" si="2"/>
        <v>2155700</v>
      </c>
      <c r="AT12" s="8"/>
      <c r="AV12" s="5" t="s">
        <v>12</v>
      </c>
      <c r="AW12" s="36">
        <v>7270535</v>
      </c>
      <c r="AY12" s="5">
        <v>2019</v>
      </c>
      <c r="AZ12" s="8">
        <v>19173770</v>
      </c>
      <c r="BB12" s="8">
        <v>42605635</v>
      </c>
    </row>
    <row r="13" spans="1:57" x14ac:dyDescent="0.35">
      <c r="A13" t="s">
        <v>38</v>
      </c>
      <c r="H13" s="5" t="s">
        <v>22</v>
      </c>
      <c r="I13" s="11">
        <v>384433</v>
      </c>
      <c r="J13" s="9"/>
      <c r="L13" s="5" t="s">
        <v>22</v>
      </c>
      <c r="M13" s="36">
        <v>7714320</v>
      </c>
      <c r="N13" s="8"/>
      <c r="O13" s="5" t="s">
        <v>31</v>
      </c>
      <c r="P13" s="6">
        <v>32596</v>
      </c>
      <c r="Q13" s="6">
        <v>32596</v>
      </c>
      <c r="X13" s="5" t="s">
        <v>31</v>
      </c>
      <c r="Y13" s="11">
        <v>82747</v>
      </c>
      <c r="AA13" s="5" t="s">
        <v>28</v>
      </c>
      <c r="AB13" s="36">
        <v>4455050</v>
      </c>
      <c r="AD13" s="5" t="s">
        <v>23</v>
      </c>
      <c r="AE13" s="50">
        <v>4788160</v>
      </c>
      <c r="AV13" s="5" t="s">
        <v>9</v>
      </c>
      <c r="AW13" s="36">
        <v>12231665</v>
      </c>
      <c r="AY13" s="5">
        <v>2020</v>
      </c>
      <c r="AZ13" s="8">
        <v>23431865</v>
      </c>
    </row>
    <row r="14" spans="1:57" x14ac:dyDescent="0.35">
      <c r="H14" s="5" t="s">
        <v>16</v>
      </c>
      <c r="I14" s="11">
        <v>1163722</v>
      </c>
      <c r="J14" s="9"/>
      <c r="N14" s="8"/>
      <c r="O14" s="5" t="s">
        <v>28</v>
      </c>
      <c r="P14" s="6">
        <v>40635</v>
      </c>
      <c r="Q14" s="6">
        <v>40635</v>
      </c>
      <c r="T14" s="5">
        <v>2019</v>
      </c>
      <c r="U14" s="11">
        <v>535113</v>
      </c>
      <c r="X14" s="5" t="s">
        <v>30</v>
      </c>
      <c r="Y14" s="11">
        <v>402513</v>
      </c>
      <c r="AA14" s="5" t="s">
        <v>27</v>
      </c>
      <c r="AB14" s="36">
        <v>7147950</v>
      </c>
      <c r="AD14" s="5" t="s">
        <v>47</v>
      </c>
      <c r="AE14" s="50">
        <v>4316575</v>
      </c>
      <c r="AL14" s="33" t="s">
        <v>87</v>
      </c>
      <c r="AM14" s="52">
        <f>AVERAGE(AH21:AS21)</f>
        <v>1952655.4166666667</v>
      </c>
      <c r="AV14" s="5" t="s">
        <v>13</v>
      </c>
      <c r="AW14" s="36">
        <v>195420</v>
      </c>
      <c r="AY14" s="5" t="s">
        <v>16</v>
      </c>
      <c r="AZ14" s="8">
        <v>42605635</v>
      </c>
    </row>
    <row r="15" spans="1:57" x14ac:dyDescent="0.35">
      <c r="A15" t="s">
        <v>39</v>
      </c>
      <c r="O15" s="5" t="s">
        <v>27</v>
      </c>
      <c r="P15" s="6">
        <v>51800</v>
      </c>
      <c r="Q15" s="6">
        <v>51800</v>
      </c>
      <c r="T15" s="5">
        <v>2020</v>
      </c>
      <c r="U15" s="11">
        <f>GETPIVOTDATA("QUANTIDADE - KG",$T$9,"ANO",2020)</f>
        <v>628609</v>
      </c>
      <c r="X15" s="5" t="s">
        <v>29</v>
      </c>
      <c r="Y15" s="11">
        <v>253262</v>
      </c>
      <c r="AA15" s="5" t="s">
        <v>29</v>
      </c>
      <c r="AB15" s="36">
        <v>7154100</v>
      </c>
      <c r="AD15" s="5" t="s">
        <v>45</v>
      </c>
      <c r="AE15" s="50">
        <v>3003925</v>
      </c>
      <c r="AL15" t="s">
        <v>88</v>
      </c>
      <c r="AM15" s="3">
        <v>1800000</v>
      </c>
      <c r="AV15" s="5" t="s">
        <v>10</v>
      </c>
      <c r="AW15" s="36">
        <v>8586105</v>
      </c>
    </row>
    <row r="16" spans="1:57" x14ac:dyDescent="0.35">
      <c r="O16" s="5" t="s">
        <v>30</v>
      </c>
      <c r="P16" s="6">
        <v>116464</v>
      </c>
      <c r="Q16" s="6">
        <v>116464</v>
      </c>
      <c r="T16" s="5" t="s">
        <v>16</v>
      </c>
      <c r="U16" s="11">
        <f>GETPIVOTDATA("QUANTIDADE - KG",$T$9)</f>
        <v>1163722</v>
      </c>
      <c r="X16" s="5" t="s">
        <v>16</v>
      </c>
      <c r="Y16" s="11">
        <v>1163722</v>
      </c>
      <c r="AD16" s="5" t="s">
        <v>25</v>
      </c>
      <c r="AE16" s="50">
        <v>2708110</v>
      </c>
      <c r="AL16" s="33" t="str">
        <f>VLOOKUP(AM16,AL18:AM19,2,FALSE)</f>
        <v>Acima da Meta</v>
      </c>
      <c r="AM16" s="35" t="str">
        <f>IF(AM14&gt;AM15,J7,I7)</f>
        <v>p</v>
      </c>
      <c r="AV16" s="5" t="s">
        <v>14</v>
      </c>
      <c r="AW16" s="36">
        <v>7771120</v>
      </c>
    </row>
    <row r="17" spans="5:49" x14ac:dyDescent="0.35">
      <c r="O17" s="5" t="s">
        <v>16</v>
      </c>
      <c r="P17" s="6">
        <v>299629</v>
      </c>
      <c r="Q17" s="6">
        <v>299629</v>
      </c>
      <c r="AD17" s="5" t="s">
        <v>46</v>
      </c>
      <c r="AE17" s="50">
        <v>1827700</v>
      </c>
      <c r="AV17" s="5" t="s">
        <v>11</v>
      </c>
      <c r="AW17" s="36">
        <v>6550790</v>
      </c>
    </row>
    <row r="18" spans="5:49" x14ac:dyDescent="0.35">
      <c r="L18" s="33" t="s">
        <v>74</v>
      </c>
      <c r="M18" s="33"/>
      <c r="T18" t="s">
        <v>77</v>
      </c>
      <c r="U18" s="11">
        <f>U15-U14</f>
        <v>93496</v>
      </c>
      <c r="AD18" s="5" t="s">
        <v>50</v>
      </c>
      <c r="AE18" s="50">
        <v>1215820</v>
      </c>
      <c r="AL18" s="32" t="s">
        <v>56</v>
      </c>
      <c r="AM18" t="s">
        <v>89</v>
      </c>
    </row>
    <row r="19" spans="5:49" x14ac:dyDescent="0.35">
      <c r="H19" t="s">
        <v>33</v>
      </c>
      <c r="L19" t="str">
        <f>INDEX(L11:L13,MATCH(M19,M11:M13,0),1)</f>
        <v>EMPRESA B</v>
      </c>
      <c r="M19" s="8">
        <f>MAX(M11:M13)</f>
        <v>8655210</v>
      </c>
      <c r="T19" t="s">
        <v>76</v>
      </c>
      <c r="U19" s="25">
        <f>U18/U14</f>
        <v>0.17472197461097003</v>
      </c>
      <c r="AA19" s="37" t="str">
        <f>INDEX(AA11:AA15,MATCH(AB19,AB11:AB15,0),1)</f>
        <v>SAL REFINADO 25 KG</v>
      </c>
      <c r="AB19" s="41">
        <f>MAX(AB11:AB15)</f>
        <v>7154100</v>
      </c>
      <c r="AL19" s="32" t="s">
        <v>55</v>
      </c>
      <c r="AM19" t="s">
        <v>90</v>
      </c>
    </row>
    <row r="20" spans="5:49" x14ac:dyDescent="0.35">
      <c r="H20" s="37" t="s">
        <v>75</v>
      </c>
      <c r="I20" s="38">
        <f>GETPIVOTDATA("QUANTIDADE - KG",$H$10)</f>
        <v>1163722</v>
      </c>
      <c r="T20" t="s">
        <v>54</v>
      </c>
      <c r="U20" s="34" t="str">
        <f>T19&amp;"  " &amp;TEXT(U19,"#%")</f>
        <v>% ANO ANTERIOR:  17%</v>
      </c>
      <c r="V20" s="35" t="str">
        <f>IF(U15&gt;U14,J7,I7)</f>
        <v>p</v>
      </c>
      <c r="AB20" s="3"/>
      <c r="AH20" t="s">
        <v>58</v>
      </c>
      <c r="AI20" t="s">
        <v>59</v>
      </c>
      <c r="AJ20" t="s">
        <v>60</v>
      </c>
      <c r="AK20" t="s">
        <v>61</v>
      </c>
      <c r="AL20" t="s">
        <v>62</v>
      </c>
      <c r="AM20" t="s">
        <v>63</v>
      </c>
      <c r="AN20" t="s">
        <v>64</v>
      </c>
      <c r="AO20" t="s">
        <v>65</v>
      </c>
      <c r="AP20" t="s">
        <v>66</v>
      </c>
      <c r="AQ20" t="s">
        <v>67</v>
      </c>
      <c r="AR20" t="s">
        <v>68</v>
      </c>
      <c r="AS20" t="s">
        <v>69</v>
      </c>
      <c r="AV20" t="str">
        <f>INDEX(AV12:AW17,MATCH(AW20,AW12:AW17,0),1)</f>
        <v>MS</v>
      </c>
      <c r="AW20" s="52">
        <f>MAX(AW12:AW17)</f>
        <v>12231665</v>
      </c>
    </row>
    <row r="21" spans="5:49" x14ac:dyDescent="0.35">
      <c r="H21" t="str">
        <f>H11</f>
        <v>EMPRESA A</v>
      </c>
      <c r="I21" s="11">
        <f>GETPIVOTDATA("QUANTIDADE - KG",$H$10,"EMPRESA","EMPRESA A")</f>
        <v>299629</v>
      </c>
      <c r="J21" s="51">
        <v>100000</v>
      </c>
      <c r="AG21">
        <v>2020</v>
      </c>
      <c r="AH21">
        <f>IFERROR(AH10,"")</f>
        <v>2780580</v>
      </c>
      <c r="AI21">
        <f t="shared" ref="AI21:AS21" si="3">IFERROR(AI10,"")</f>
        <v>1605930</v>
      </c>
      <c r="AJ21">
        <f t="shared" si="3"/>
        <v>2653610</v>
      </c>
      <c r="AK21">
        <f t="shared" si="3"/>
        <v>1426595</v>
      </c>
      <c r="AL21">
        <f t="shared" si="3"/>
        <v>842840</v>
      </c>
      <c r="AM21">
        <f t="shared" si="3"/>
        <v>1513815</v>
      </c>
      <c r="AN21">
        <f t="shared" si="3"/>
        <v>1543075</v>
      </c>
      <c r="AO21">
        <f t="shared" si="3"/>
        <v>1128030</v>
      </c>
      <c r="AP21">
        <f t="shared" si="3"/>
        <v>1484045</v>
      </c>
      <c r="AQ21">
        <f t="shared" si="3"/>
        <v>3146840</v>
      </c>
      <c r="AR21">
        <f t="shared" si="3"/>
        <v>2231925</v>
      </c>
      <c r="AS21">
        <f t="shared" si="3"/>
        <v>3074580</v>
      </c>
      <c r="AV21" s="33" t="str">
        <f>VLOOKUP(AV20,AV1:AW6,2,FALSE)</f>
        <v>Mato Grosso do Sul</v>
      </c>
      <c r="AW21" s="25">
        <f>AW20/GETPIVOTDATA("VALOR - R$",$BB$11)</f>
        <v>0.28709031094126397</v>
      </c>
    </row>
    <row r="22" spans="5:49" x14ac:dyDescent="0.35">
      <c r="H22" t="str">
        <f t="shared" ref="H22:H23" si="4">H12</f>
        <v>EMPRESA B</v>
      </c>
      <c r="I22" s="11">
        <f>GETPIVOTDATA("QUANTIDADE - KG",$H$10,"EMPRESA","EMPRESA B")</f>
        <v>479660</v>
      </c>
      <c r="J22" s="51">
        <v>100000</v>
      </c>
      <c r="AD22" s="33" t="str">
        <f>INDEX(AD9:AD19,MATCH(AE22,AE9:AE19,0),1)</f>
        <v>CLIENTE 04</v>
      </c>
      <c r="AE22" s="47">
        <f>MAX(AE9:AE19)</f>
        <v>7802890</v>
      </c>
    </row>
    <row r="23" spans="5:49" x14ac:dyDescent="0.35">
      <c r="H23" t="str">
        <f t="shared" si="4"/>
        <v>EMPRESA C</v>
      </c>
      <c r="I23" s="11">
        <f>GETPIVOTDATA("QUANTIDADE - KG",$H$10,"EMPRESA","EMPRESA C")</f>
        <v>384433</v>
      </c>
      <c r="J23" s="51">
        <v>100000</v>
      </c>
      <c r="AA23" s="4"/>
      <c r="AV23" t="s">
        <v>85</v>
      </c>
      <c r="AW23" t="s">
        <v>86</v>
      </c>
    </row>
    <row r="24" spans="5:49" x14ac:dyDescent="0.35">
      <c r="AA24" s="4"/>
      <c r="AV24" s="33" t="str">
        <f>AV23&amp;TEXT(AW21,"#%")&amp;AW23</f>
        <v>Equivalente a 29% do faturamento</v>
      </c>
    </row>
    <row r="26" spans="5:49" x14ac:dyDescent="0.35">
      <c r="AG26" s="4" t="s">
        <v>0</v>
      </c>
      <c r="AH26" t="s">
        <v>78</v>
      </c>
    </row>
    <row r="28" spans="5:49" x14ac:dyDescent="0.35">
      <c r="AG28" s="4" t="s">
        <v>18</v>
      </c>
      <c r="AH28" s="4" t="s">
        <v>19</v>
      </c>
    </row>
    <row r="29" spans="5:49" x14ac:dyDescent="0.35">
      <c r="AG29" s="4" t="s">
        <v>15</v>
      </c>
      <c r="AH29" t="s">
        <v>20</v>
      </c>
      <c r="AI29" t="s">
        <v>21</v>
      </c>
      <c r="AJ29" t="s">
        <v>22</v>
      </c>
      <c r="AK29" t="s">
        <v>16</v>
      </c>
    </row>
    <row r="30" spans="5:49" x14ac:dyDescent="0.35">
      <c r="E30" s="26"/>
      <c r="F30" s="26"/>
      <c r="AG30" s="5" t="s">
        <v>58</v>
      </c>
      <c r="AH30" s="36">
        <v>1245020</v>
      </c>
      <c r="AI30" s="36">
        <v>1964455</v>
      </c>
      <c r="AJ30" s="36">
        <v>893340</v>
      </c>
      <c r="AK30" s="36">
        <v>4102815</v>
      </c>
    </row>
    <row r="31" spans="5:49" x14ac:dyDescent="0.35">
      <c r="AG31" s="5" t="s">
        <v>59</v>
      </c>
      <c r="AH31" s="36">
        <v>216610</v>
      </c>
      <c r="AI31" s="36">
        <v>2195990</v>
      </c>
      <c r="AJ31" s="36">
        <v>1093965</v>
      </c>
      <c r="AK31" s="36">
        <v>3506565</v>
      </c>
    </row>
    <row r="32" spans="5:49" x14ac:dyDescent="0.35">
      <c r="AG32" s="5" t="s">
        <v>60</v>
      </c>
      <c r="AH32" s="36">
        <v>397995</v>
      </c>
      <c r="AI32" s="36">
        <v>1837355</v>
      </c>
      <c r="AJ32" s="36">
        <v>1449080</v>
      </c>
      <c r="AK32" s="36">
        <v>3684430</v>
      </c>
    </row>
    <row r="33" spans="13:46" x14ac:dyDescent="0.35">
      <c r="AG33" s="5" t="s">
        <v>61</v>
      </c>
      <c r="AH33" s="36">
        <v>81465</v>
      </c>
      <c r="AI33" s="36">
        <v>791435</v>
      </c>
      <c r="AJ33" s="36">
        <v>1585140</v>
      </c>
      <c r="AK33" s="36">
        <v>2458040</v>
      </c>
    </row>
    <row r="34" spans="13:46" x14ac:dyDescent="0.35">
      <c r="M34" s="4"/>
      <c r="N34" s="4"/>
      <c r="AG34" s="5" t="s">
        <v>62</v>
      </c>
      <c r="AH34" s="36">
        <v>744900</v>
      </c>
      <c r="AI34" s="36">
        <v>927560</v>
      </c>
      <c r="AJ34" s="36">
        <v>981650</v>
      </c>
      <c r="AK34" s="36">
        <v>2654110</v>
      </c>
    </row>
    <row r="35" spans="13:46" x14ac:dyDescent="0.35">
      <c r="AG35" s="5" t="s">
        <v>63</v>
      </c>
      <c r="AH35" s="36">
        <v>1052110</v>
      </c>
      <c r="AI35" s="36">
        <v>875250</v>
      </c>
      <c r="AJ35" s="36">
        <v>889835</v>
      </c>
      <c r="AK35" s="36">
        <v>2817195</v>
      </c>
    </row>
    <row r="36" spans="13:46" x14ac:dyDescent="0.35">
      <c r="AG36" s="5" t="s">
        <v>64</v>
      </c>
      <c r="AH36" s="36">
        <v>1000960</v>
      </c>
      <c r="AI36" s="36">
        <v>1194215</v>
      </c>
      <c r="AJ36" s="36">
        <v>1404245</v>
      </c>
      <c r="AK36" s="36">
        <v>3599420</v>
      </c>
    </row>
    <row r="37" spans="13:46" x14ac:dyDescent="0.35">
      <c r="AG37" s="5" t="s">
        <v>65</v>
      </c>
      <c r="AH37" s="36">
        <v>757685</v>
      </c>
      <c r="AI37" s="36">
        <v>586915</v>
      </c>
      <c r="AJ37" s="36">
        <v>901120</v>
      </c>
      <c r="AK37" s="36">
        <v>2245720</v>
      </c>
    </row>
    <row r="38" spans="13:46" x14ac:dyDescent="0.35">
      <c r="AG38" s="5" t="s">
        <v>66</v>
      </c>
      <c r="AH38" s="36">
        <v>769320</v>
      </c>
      <c r="AI38" s="36">
        <v>1281870</v>
      </c>
      <c r="AJ38" s="36">
        <v>697380</v>
      </c>
      <c r="AK38" s="36">
        <v>2748570</v>
      </c>
    </row>
    <row r="39" spans="13:46" x14ac:dyDescent="0.35">
      <c r="AG39" s="5" t="s">
        <v>67</v>
      </c>
      <c r="AH39" s="36">
        <v>1851130</v>
      </c>
      <c r="AI39" s="36">
        <v>2347690</v>
      </c>
      <c r="AJ39" s="36">
        <v>1312450</v>
      </c>
      <c r="AK39" s="36">
        <v>5511270</v>
      </c>
      <c r="AT39" s="8"/>
    </row>
    <row r="40" spans="13:46" x14ac:dyDescent="0.35">
      <c r="X40" s="4"/>
      <c r="Y40" s="4"/>
      <c r="Z40" s="4"/>
      <c r="AA40" s="4"/>
      <c r="AB40" s="4"/>
      <c r="AC40" s="4"/>
      <c r="AG40" s="5" t="s">
        <v>68</v>
      </c>
      <c r="AH40" s="36">
        <v>547520</v>
      </c>
      <c r="AI40" s="36">
        <v>1964495</v>
      </c>
      <c r="AJ40" s="36">
        <v>1535205</v>
      </c>
      <c r="AK40" s="36">
        <v>4047220</v>
      </c>
      <c r="AT40" s="8"/>
    </row>
    <row r="41" spans="13:46" x14ac:dyDescent="0.35">
      <c r="M41" s="46"/>
      <c r="AG41" s="5" t="s">
        <v>69</v>
      </c>
      <c r="AH41" s="36">
        <v>1657195</v>
      </c>
      <c r="AI41" s="36">
        <v>2182750</v>
      </c>
      <c r="AJ41" s="36">
        <v>1390335</v>
      </c>
      <c r="AK41" s="36">
        <v>5230280</v>
      </c>
    </row>
    <row r="42" spans="13:46" x14ac:dyDescent="0.35">
      <c r="AG42" s="5" t="s">
        <v>16</v>
      </c>
      <c r="AH42" s="8">
        <v>10321910</v>
      </c>
      <c r="AI42" s="8">
        <v>18149980</v>
      </c>
      <c r="AJ42" s="8">
        <v>14133745</v>
      </c>
      <c r="AK42" s="8">
        <v>42605635</v>
      </c>
    </row>
  </sheetData>
  <phoneticPr fontId="2" type="noConversion"/>
  <conditionalFormatting pivot="1" sqref="AE9:AE18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{EA31E33D-FDAF-4CE3-B620-37D9BDAF8BB6}</x14:id>
        </ext>
      </extLst>
    </cfRule>
  </conditionalFormatting>
  <pageMargins left="0.511811024" right="0.511811024" top="0.78740157499999996" bottom="0.78740157499999996" header="0.31496062000000002" footer="0.31496062000000002"/>
  <pageSetup paperSize="9" orientation="portrait" r:id="rId13"/>
  <drawing r:id="rId14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EA31E33D-FDAF-4CE3-B620-37D9BDAF8BB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AE9:AE18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BaseModelo</vt:lpstr>
      <vt:lpstr>CAPA</vt:lpstr>
      <vt:lpstr>DashboardGer.</vt:lpstr>
      <vt:lpstr>DashboardOpe.</vt:lpstr>
      <vt:lpstr>Analises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Jamerson de Oliveira Bento dos Santos</dc:creator>
  <cp:lastModifiedBy>Ryan Araújo</cp:lastModifiedBy>
  <dcterms:created xsi:type="dcterms:W3CDTF">2020-07-08T00:03:18Z</dcterms:created>
  <dcterms:modified xsi:type="dcterms:W3CDTF">2022-11-20T12:29:52Z</dcterms:modified>
</cp:coreProperties>
</file>