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f66b3519843fb319/Documentos/Videos ExcelCoaching/"/>
    </mc:Choice>
  </mc:AlternateContent>
  <xr:revisionPtr revIDLastSave="10" documentId="11_AD4DFA40777397EE0F33140DACFC02A56D102A5F" xr6:coauthVersionLast="47" xr6:coauthVersionMax="47" xr10:uidLastSave="{8E99841A-2D67-4E32-BB38-18E9E6CBE725}"/>
  <bookViews>
    <workbookView xWindow="4392" yWindow="3360" windowWidth="17280" windowHeight="8880" xr2:uid="{00000000-000D-0000-FFFF-FFFF00000000}"/>
  </bookViews>
  <sheets>
    <sheet name="PAINEL" sheetId="1" r:id="rId1"/>
    <sheet name="NACIONAL" sheetId="2" r:id="rId2"/>
    <sheet name="ESTADOS" sheetId="3" r:id="rId3"/>
    <sheet name="REGIOES" sheetId="4" r:id="rId4"/>
    <sheet name="SIMULADOR" sheetId="5" r:id="rId5"/>
    <sheet name="FONTES" sheetId="6" r:id="rId6"/>
  </sheets>
  <calcPr calcId="191029"/>
</workbook>
</file>

<file path=xl/calcChain.xml><?xml version="1.0" encoding="utf-8"?>
<calcChain xmlns="http://schemas.openxmlformats.org/spreadsheetml/2006/main">
  <c r="B13" i="5" l="1"/>
  <c r="C13" i="5" s="1"/>
  <c r="B6" i="5"/>
  <c r="B5" i="5"/>
  <c r="D10" i="4"/>
  <c r="C10" i="4"/>
  <c r="B10" i="4"/>
  <c r="E10" i="4" s="1"/>
  <c r="D9" i="4"/>
  <c r="C9" i="4"/>
  <c r="H9" i="4" s="1"/>
  <c r="B9" i="4"/>
  <c r="D8" i="4"/>
  <c r="C8" i="4"/>
  <c r="B8" i="4"/>
  <c r="E8" i="4" s="1"/>
  <c r="D7" i="4"/>
  <c r="C7" i="4"/>
  <c r="B7" i="4"/>
  <c r="E7" i="4" s="1"/>
  <c r="D6" i="4"/>
  <c r="B17" i="5" s="1"/>
  <c r="C6" i="4"/>
  <c r="H6" i="4" s="1"/>
  <c r="B6" i="4"/>
  <c r="D5" i="4"/>
  <c r="C5" i="4"/>
  <c r="B5" i="4"/>
  <c r="F33" i="3"/>
  <c r="L31" i="3" s="1"/>
  <c r="E33" i="3"/>
  <c r="D33" i="3"/>
  <c r="G33" i="3" s="1"/>
  <c r="K32" i="3"/>
  <c r="J32" i="3"/>
  <c r="I32" i="3"/>
  <c r="H32" i="3"/>
  <c r="G32" i="3"/>
  <c r="K31" i="3"/>
  <c r="J31" i="3"/>
  <c r="I31" i="3"/>
  <c r="H31" i="3"/>
  <c r="G31" i="3"/>
  <c r="K30" i="3"/>
  <c r="J30" i="3"/>
  <c r="I30" i="3"/>
  <c r="H30" i="3"/>
  <c r="G30" i="3"/>
  <c r="K29" i="3"/>
  <c r="J29" i="3"/>
  <c r="I29" i="3"/>
  <c r="H29" i="3"/>
  <c r="G29" i="3"/>
  <c r="K28" i="3"/>
  <c r="J28" i="3"/>
  <c r="I28" i="3"/>
  <c r="H28" i="3"/>
  <c r="G28" i="3"/>
  <c r="K27" i="3"/>
  <c r="J27" i="3"/>
  <c r="I27" i="3"/>
  <c r="H27" i="3"/>
  <c r="G27" i="3"/>
  <c r="L26" i="3"/>
  <c r="K26" i="3"/>
  <c r="J26" i="3"/>
  <c r="I26" i="3"/>
  <c r="H26" i="3"/>
  <c r="G26" i="3"/>
  <c r="L25" i="3"/>
  <c r="K25" i="3"/>
  <c r="J25" i="3"/>
  <c r="I25" i="3"/>
  <c r="H25" i="3"/>
  <c r="G25" i="3"/>
  <c r="K24" i="3"/>
  <c r="J24" i="3"/>
  <c r="I24" i="3"/>
  <c r="H24" i="3"/>
  <c r="G24" i="3"/>
  <c r="K23" i="3"/>
  <c r="J23" i="3"/>
  <c r="I23" i="3"/>
  <c r="H23" i="3"/>
  <c r="G23" i="3"/>
  <c r="L22" i="3"/>
  <c r="K22" i="3"/>
  <c r="J22" i="3"/>
  <c r="I22" i="3"/>
  <c r="H22" i="3"/>
  <c r="G22" i="3"/>
  <c r="L21" i="3"/>
  <c r="K21" i="3"/>
  <c r="J21" i="3"/>
  <c r="I21" i="3"/>
  <c r="H21" i="3"/>
  <c r="G21" i="3"/>
  <c r="K20" i="3"/>
  <c r="J20" i="3"/>
  <c r="I20" i="3"/>
  <c r="H20" i="3"/>
  <c r="G20" i="3"/>
  <c r="K19" i="3"/>
  <c r="J19" i="3"/>
  <c r="I19" i="3"/>
  <c r="H19" i="3"/>
  <c r="G19" i="3"/>
  <c r="L18" i="3"/>
  <c r="K18" i="3"/>
  <c r="J18" i="3"/>
  <c r="I18" i="3"/>
  <c r="H18" i="3"/>
  <c r="G18" i="3"/>
  <c r="K17" i="3"/>
  <c r="J17" i="3"/>
  <c r="I17" i="3"/>
  <c r="H17" i="3"/>
  <c r="G17" i="3"/>
  <c r="K16" i="3"/>
  <c r="J16" i="3"/>
  <c r="I16" i="3"/>
  <c r="H16" i="3"/>
  <c r="G16" i="3"/>
  <c r="K15" i="3"/>
  <c r="J15" i="3"/>
  <c r="I15" i="3"/>
  <c r="H15" i="3"/>
  <c r="G15" i="3"/>
  <c r="K14" i="3"/>
  <c r="J14" i="3"/>
  <c r="I14" i="3"/>
  <c r="H14" i="3"/>
  <c r="G14" i="3"/>
  <c r="L13" i="3"/>
  <c r="K13" i="3"/>
  <c r="J13" i="3"/>
  <c r="I13" i="3"/>
  <c r="H13" i="3"/>
  <c r="G13" i="3"/>
  <c r="K12" i="3"/>
  <c r="J12" i="3"/>
  <c r="I12" i="3"/>
  <c r="H12" i="3"/>
  <c r="G12" i="3"/>
  <c r="K11" i="3"/>
  <c r="J11" i="3"/>
  <c r="I11" i="3"/>
  <c r="H11" i="3"/>
  <c r="G11" i="3"/>
  <c r="L10" i="3"/>
  <c r="K10" i="3"/>
  <c r="J10" i="3"/>
  <c r="I10" i="3"/>
  <c r="H10" i="3"/>
  <c r="G10" i="3"/>
  <c r="L9" i="3"/>
  <c r="K9" i="3"/>
  <c r="J9" i="3"/>
  <c r="I9" i="3"/>
  <c r="H9" i="3"/>
  <c r="G9" i="3"/>
  <c r="K8" i="3"/>
  <c r="J8" i="3"/>
  <c r="I8" i="3"/>
  <c r="H8" i="3"/>
  <c r="G8" i="3"/>
  <c r="K7" i="3"/>
  <c r="J7" i="3"/>
  <c r="I7" i="3"/>
  <c r="H7" i="3"/>
  <c r="G7" i="3"/>
  <c r="L6" i="3"/>
  <c r="K6" i="3"/>
  <c r="J6" i="3"/>
  <c r="I6" i="3"/>
  <c r="H6" i="3"/>
  <c r="G6" i="3"/>
  <c r="L5" i="3"/>
  <c r="K5" i="3"/>
  <c r="J5" i="3"/>
  <c r="I5" i="3"/>
  <c r="H5" i="3"/>
  <c r="G5" i="3"/>
  <c r="D30" i="2"/>
  <c r="D22" i="2"/>
  <c r="E5" i="1" s="1"/>
  <c r="D20" i="2"/>
  <c r="E20" i="2" s="1"/>
  <c r="D18" i="2"/>
  <c r="B7" i="5" s="1"/>
  <c r="B27" i="5" s="1"/>
  <c r="E16" i="2"/>
  <c r="E15" i="2"/>
  <c r="E14" i="2"/>
  <c r="E13" i="2"/>
  <c r="E12" i="2"/>
  <c r="E11" i="2"/>
  <c r="E10" i="2"/>
  <c r="E9" i="2"/>
  <c r="E8" i="2"/>
  <c r="E7" i="2"/>
  <c r="E6" i="2"/>
  <c r="C5" i="1" s="1"/>
  <c r="E5" i="2"/>
  <c r="G5" i="1"/>
  <c r="A5" i="1"/>
  <c r="I39" i="3" l="1"/>
  <c r="G12" i="1" s="1"/>
  <c r="H7" i="4"/>
  <c r="L14" i="3"/>
  <c r="L30" i="3"/>
  <c r="G13" i="1"/>
  <c r="L17" i="3"/>
  <c r="I33" i="3"/>
  <c r="H33" i="3"/>
  <c r="D23" i="2"/>
  <c r="L29" i="3"/>
  <c r="B11" i="4"/>
  <c r="H10" i="4"/>
  <c r="C11" i="4"/>
  <c r="G11" i="4" s="1"/>
  <c r="D11" i="4"/>
  <c r="I10" i="4" s="1"/>
  <c r="H8" i="4"/>
  <c r="I37" i="3"/>
  <c r="G11" i="1" s="1"/>
  <c r="I36" i="3"/>
  <c r="G9" i="1" s="1"/>
  <c r="E6" i="4"/>
  <c r="E18" i="2"/>
  <c r="E9" i="4"/>
  <c r="B18" i="5"/>
  <c r="B22" i="5" s="1"/>
  <c r="I35" i="3"/>
  <c r="G8" i="1" s="1"/>
  <c r="E5" i="4"/>
  <c r="F5" i="4"/>
  <c r="F6" i="4"/>
  <c r="F7" i="4"/>
  <c r="F8" i="4"/>
  <c r="F9" i="4"/>
  <c r="F10" i="4"/>
  <c r="L20" i="3"/>
  <c r="L24" i="3"/>
  <c r="L28" i="3"/>
  <c r="L32" i="3"/>
  <c r="G5" i="4"/>
  <c r="G6" i="4"/>
  <c r="G7" i="4"/>
  <c r="G8" i="4"/>
  <c r="G9" i="4"/>
  <c r="G10" i="4"/>
  <c r="L8" i="3"/>
  <c r="L12" i="3"/>
  <c r="L16" i="3"/>
  <c r="L7" i="3"/>
  <c r="L11" i="3"/>
  <c r="L15" i="3"/>
  <c r="L19" i="3"/>
  <c r="L23" i="3"/>
  <c r="L27" i="3"/>
  <c r="H5" i="4"/>
  <c r="I9" i="4" l="1"/>
  <c r="B19" i="5"/>
  <c r="B23" i="5" s="1"/>
  <c r="B25" i="5" s="1"/>
  <c r="I38" i="3"/>
  <c r="G10" i="1" s="1"/>
  <c r="I6" i="4"/>
  <c r="I5" i="4"/>
  <c r="I8" i="4"/>
  <c r="I7" i="4"/>
  <c r="B24" i="5" l="1"/>
  <c r="C23" i="5" s="1"/>
  <c r="C22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Planilha</author>
  </authors>
  <commentList>
    <comment ref="B16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Hipótese: os novos votos válidos se dividem entre Lula e Flávio na mesma proporção que os dois tiveram nessa região no 1º turno.</t>
        </r>
      </text>
    </comment>
  </commentList>
</comments>
</file>

<file path=xl/sharedStrings.xml><?xml version="1.0" encoding="utf-8"?>
<sst xmlns="http://schemas.openxmlformats.org/spreadsheetml/2006/main" count="269" uniqueCount="205">
  <si>
    <t>LULA x FLÁVIO BOLSONARO: O MAPA DAS ELEIÇÕES 2026 ENGANA?</t>
  </si>
  <si>
    <t>Mapa mostra território. Planilha mostra peso. Dados observados do TSE (1º turno, Presidente). Sem previsão e sem opinião política.</t>
  </si>
  <si>
    <t>FLÁVIO BOLSONARO</t>
  </si>
  <si>
    <t>LULA</t>
  </si>
  <si>
    <t>DIFERENÇA (VOTOS)</t>
  </si>
  <si>
    <t>VOTOS VÁLIDOS</t>
  </si>
  <si>
    <t>LEITURA DO MAPA x LEITURA DA PLANILHA</t>
  </si>
  <si>
    <t>UFs em que Flávio foi o mais votado</t>
  </si>
  <si>
    <t>UFs em que Lula foi o mais votado</t>
  </si>
  <si>
    <t>UF com o maior saldo eleitoral</t>
  </si>
  <si>
    <t>Maior saldo eleitoral (votos)</t>
  </si>
  <si>
    <t>1 ponto percentual em SP vale quantas vezes 1 ponto em RR</t>
  </si>
  <si>
    <t>Votos dos candidatos que ficaram fora do 2º turno</t>
  </si>
  <si>
    <t>COMO USAR</t>
  </si>
  <si>
    <t>NACIONAL — resultado do 1º turno e diferença entre os dois mais votados.</t>
  </si>
  <si>
    <t>ESTADOS — votos por UF, % de cada um, SALDO ELEITORAL (|Flávio − Lula|), valor de 1 ponto percentual e peso no total.</t>
  </si>
  <si>
    <t>REGIOES — soma por região com SOMASES (Norte, Nordeste, Centro-Oeste, Sudeste, Sul e Exterior).</t>
  </si>
  <si>
    <t>SIMULADOR — altere só as células AMARELAS e veja o resultado matemático do cenário (simulação ≠ previsão).</t>
  </si>
  <si>
    <t>FONTES — links do TSE e demais referências. Cores: azul = dado digitado da fonte · preto = fórmula · verde = link para outra aba.</t>
  </si>
  <si>
    <t>RESULTADO NACIONAL — PRESIDENTE · 1º TURNO · ELEIÇÕES 2026</t>
  </si>
  <si>
    <t>Dados observados do TSE (consulta em 04/10/2026, 23h04, 99,98% das seções totalizadas). Valores em azul = dados digitados da fonte; em preto = fórmulas.</t>
  </si>
  <si>
    <t>Candidato</t>
  </si>
  <si>
    <t>Número</t>
  </si>
  <si>
    <t>Partido</t>
  </si>
  <si>
    <t>Votos</t>
  </si>
  <si>
    <t>% dos válidos</t>
  </si>
  <si>
    <t>Observação</t>
  </si>
  <si>
    <t>Flavio Bolsonaro</t>
  </si>
  <si>
    <t>PL</t>
  </si>
  <si>
    <t>Disputa o 2º turno</t>
  </si>
  <si>
    <t>Lula</t>
  </si>
  <si>
    <t>PT</t>
  </si>
  <si>
    <t>Escritor Augusto Cury</t>
  </si>
  <si>
    <t>AVANTE</t>
  </si>
  <si>
    <t>Renan Santos</t>
  </si>
  <si>
    <t>MISSÃO</t>
  </si>
  <si>
    <t>Ronaldo Caiado</t>
  </si>
  <si>
    <t>PSD</t>
  </si>
  <si>
    <t>Zema</t>
  </si>
  <si>
    <t>NOVO</t>
  </si>
  <si>
    <t>Samara</t>
  </si>
  <si>
    <t>UP</t>
  </si>
  <si>
    <t>Hertz Dias</t>
  </si>
  <si>
    <t>PSTU</t>
  </si>
  <si>
    <t>Clariana Barao</t>
  </si>
  <si>
    <t>DC</t>
  </si>
  <si>
    <t>Edmilson Costa</t>
  </si>
  <si>
    <t>PCB</t>
  </si>
  <si>
    <t>Veterinário Wilson Grassi</t>
  </si>
  <si>
    <t>DEMOCRATA</t>
  </si>
  <si>
    <t>Rui Costa Pimenta</t>
  </si>
  <si>
    <t>PCO</t>
  </si>
  <si>
    <t>Votos dos outros 10 candidatos</t>
  </si>
  <si>
    <t>Total de votos válidos (TSE)</t>
  </si>
  <si>
    <t>Soma dos candidatos (conferência)</t>
  </si>
  <si>
    <t>Diferença Flávio − Lula (votos)</t>
  </si>
  <si>
    <t>Diferença Flávio − Lula (pontos percentuais)</t>
  </si>
  <si>
    <t>Brancos</t>
  </si>
  <si>
    <t>Nulos</t>
  </si>
  <si>
    <t>Comparecimento</t>
  </si>
  <si>
    <t>Abstenção</t>
  </si>
  <si>
    <t>Eleitorado apto</t>
  </si>
  <si>
    <t>Abstenção (% do eleitorado)</t>
  </si>
  <si>
    <t>Nota: no vídeo, o trecho “47,09% x 45,08% com 99,7% das urnas” refere-se à parcial do TSE das 22h de 04/10/2026. Esta planilha usa a consulta de 23h04 (99,98% das seções).</t>
  </si>
  <si>
    <t>VOTOS POR ESTADO — LULA x FLÁVIO BOLSONARO (1º TURNO)</t>
  </si>
  <si>
    <t>Uma linha por UF (e Exterior). Azul = dado do TSE; preto = fórmula. Saldo = diferença absoluta entre os dois candidatos no estado. 1 p.p. = votos válidos ÷ 100.</t>
  </si>
  <si>
    <t>UF</t>
  </si>
  <si>
    <t>Estado</t>
  </si>
  <si>
    <t>Região</t>
  </si>
  <si>
    <t>Votos Lula</t>
  </si>
  <si>
    <t>Votos Flávio</t>
  </si>
  <si>
    <t>Votos válidos (UF)</t>
  </si>
  <si>
    <t>% Lula</t>
  </si>
  <si>
    <t>% Flávio</t>
  </si>
  <si>
    <t>Saldo eleitoral (|Flávio − Lula|)</t>
  </si>
  <si>
    <t>Mais votado no estado</t>
  </si>
  <si>
    <t>Valor de 1 ponto percentual (votos)</t>
  </si>
  <si>
    <t>Peso no total nacional</t>
  </si>
  <si>
    <t>Seções totalizadas (TSE)</t>
  </si>
  <si>
    <t>AC</t>
  </si>
  <si>
    <t>Acre</t>
  </si>
  <si>
    <t>Norte</t>
  </si>
  <si>
    <t>100,00%</t>
  </si>
  <si>
    <t>AL</t>
  </si>
  <si>
    <t>Alagoas</t>
  </si>
  <si>
    <t>Nordeste</t>
  </si>
  <si>
    <t>AM</t>
  </si>
  <si>
    <t>Amazonas</t>
  </si>
  <si>
    <t>99,87%</t>
  </si>
  <si>
    <t>AP</t>
  </si>
  <si>
    <t>Amapá</t>
  </si>
  <si>
    <t>BA</t>
  </si>
  <si>
    <t>Bahia</t>
  </si>
  <si>
    <t>99,85%</t>
  </si>
  <si>
    <t>CE</t>
  </si>
  <si>
    <t>Ceará</t>
  </si>
  <si>
    <t>99,97%</t>
  </si>
  <si>
    <t>DF</t>
  </si>
  <si>
    <t>Distrito Federal</t>
  </si>
  <si>
    <t>Centro-Oeste</t>
  </si>
  <si>
    <t>ES</t>
  </si>
  <si>
    <t>Espírito Santo</t>
  </si>
  <si>
    <t>Sudeste</t>
  </si>
  <si>
    <t>GO</t>
  </si>
  <si>
    <t>Goiás</t>
  </si>
  <si>
    <t>MA</t>
  </si>
  <si>
    <t>Maranhão</t>
  </si>
  <si>
    <t>99,86%</t>
  </si>
  <si>
    <t>MG</t>
  </si>
  <si>
    <t>Minas Gerais</t>
  </si>
  <si>
    <t>99,99%</t>
  </si>
  <si>
    <t>MS</t>
  </si>
  <si>
    <t>Mato Grosso do Sul</t>
  </si>
  <si>
    <t>MT</t>
  </si>
  <si>
    <t>Mato Grosso</t>
  </si>
  <si>
    <t>PA</t>
  </si>
  <si>
    <t>Pará</t>
  </si>
  <si>
    <t>PB</t>
  </si>
  <si>
    <t>Paraíba</t>
  </si>
  <si>
    <t>99,98%</t>
  </si>
  <si>
    <t>PE</t>
  </si>
  <si>
    <t>Pernambuco</t>
  </si>
  <si>
    <t>PI</t>
  </si>
  <si>
    <t>Piauí</t>
  </si>
  <si>
    <t>PR</t>
  </si>
  <si>
    <t>Paraná</t>
  </si>
  <si>
    <t>Sul</t>
  </si>
  <si>
    <t>RJ</t>
  </si>
  <si>
    <t>Rio de Janeiro</t>
  </si>
  <si>
    <t>RN</t>
  </si>
  <si>
    <t>Rio Grande do Norte</t>
  </si>
  <si>
    <t>RO</t>
  </si>
  <si>
    <t>Rondônia</t>
  </si>
  <si>
    <t>RR</t>
  </si>
  <si>
    <t>Roraima</t>
  </si>
  <si>
    <t>RS</t>
  </si>
  <si>
    <t>Rio Grande do Sul</t>
  </si>
  <si>
    <t>SC</t>
  </si>
  <si>
    <t>Santa Catarina</t>
  </si>
  <si>
    <t>SE</t>
  </si>
  <si>
    <t>Sergipe</t>
  </si>
  <si>
    <t>SP</t>
  </si>
  <si>
    <t>São Paulo</t>
  </si>
  <si>
    <t>TO</t>
  </si>
  <si>
    <t>Tocantins</t>
  </si>
  <si>
    <t>ZZ</t>
  </si>
  <si>
    <t>Exterior</t>
  </si>
  <si>
    <t>TOTAL</t>
  </si>
  <si>
    <t>Estados em que Flávio Bolsonaro foi o mais votado (sem Exterior)</t>
  </si>
  <si>
    <t>Estados em que Lula foi o mais votado (sem Exterior)</t>
  </si>
  <si>
    <t>UF com o maior saldo</t>
  </si>
  <si>
    <t>Quantas vezes vale 1 ponto em SP em relação a RR</t>
  </si>
  <si>
    <t>Nota: os arquivos estaduais do TSE foram consultados segundos depois do nacional; a soma das UFs pode diferir do total nacional (aba NACIONAL) em algumas centenas de votos.</t>
  </si>
  <si>
    <t>VOTOS POR REGIÃO — SOMA DAS UFs (SOMASES)</t>
  </si>
  <si>
    <t>Tudo calculado a partir da aba ESTADOS. Exterior aparece separado.</t>
  </si>
  <si>
    <t>Votos válidos</t>
  </si>
  <si>
    <t>Saldo (|Flávio − Lula|)</t>
  </si>
  <si>
    <t>Mais votado</t>
  </si>
  <si>
    <t>SIMULADOR DE CENÁRIOS — 2º TURNO (MATEMÁTICA, NÃO É PREVISÃO)</t>
  </si>
  <si>
    <t>Edite apenas as células AMARELAS. O resultado mostra a consequência matemática das hipóteses escolhidas; não é pesquisa nem previsão de resultado.</t>
  </si>
  <si>
    <t>BASE DO 1º TURNO (aba NACIONAL)</t>
  </si>
  <si>
    <t>Votos de Lula</t>
  </si>
  <si>
    <t>Votos de Flávio Bolsonaro</t>
  </si>
  <si>
    <t>Votos dos outros candidatos</t>
  </si>
  <si>
    <t>HIPÓTESES (edite)</t>
  </si>
  <si>
    <t>% dos votos dos outros que vão para Lula</t>
  </si>
  <si>
    <t>% dos votos dos outros que vão para Flávio</t>
  </si>
  <si>
    <t>% dos votos dos outros que não viram voto válido</t>
  </si>
  <si>
    <t>Soma (precisa dar 100%)</t>
  </si>
  <si>
    <t>Região com comparecimento extra</t>
  </si>
  <si>
    <t>Votos válidos extras na região (% dos válidos da região)</t>
  </si>
  <si>
    <t>Votos extras na região</t>
  </si>
  <si>
    <t>Parte de Lula nos votos extras</t>
  </si>
  <si>
    <t>Parte de Flávio nos votos extras</t>
  </si>
  <si>
    <t>RESULTADO MATEMÁTICO DO CENÁRIO</t>
  </si>
  <si>
    <t>Flávio Bolsonaro</t>
  </si>
  <si>
    <t>Total de votos válidos no cenário</t>
  </si>
  <si>
    <t>Diferença entre os dois (votos)</t>
  </si>
  <si>
    <t>Ponto de equilíbrio: % dos outros que Lula precisaria (com o restante para Flávio e sem votos extras) para empatar</t>
  </si>
  <si>
    <t>SIMULAÇÃO ≠ PREVISÃO. O cenário depende só das hipóteses digitadas acima; não considera pesquisas, nem quem de fato vai votar.</t>
  </si>
  <si>
    <t>Exemplos do vídeo: 50% / 50% / 0% · 40% Lula / 60% Flávio / 0% · 40% / 40% / 20% (parte não vota) · comparecimento extra numa região.</t>
  </si>
  <si>
    <t>FONTES E NOTAS METODOLÓGICAS</t>
  </si>
  <si>
    <t>Uso na planilha</t>
  </si>
  <si>
    <t>Fonte</t>
  </si>
  <si>
    <t>Data/hora</t>
  </si>
  <si>
    <t>Link</t>
  </si>
  <si>
    <t>Resultado nacional e por UF (Presidente, 1º turno)</t>
  </si>
  <si>
    <t>Tribunal Superior Eleitoral (TSE) — Divulgação de Resultados</t>
  </si>
  <si>
    <t>04/10/2026, 23h04 (99,98% das seções)</t>
  </si>
  <si>
    <t>https://resultados.tse.jus.br/oficial/app/index.html</t>
  </si>
  <si>
    <t>Parcial citada na fala do vídeo (47,09% x 45,08%, 99,7% das urnas)</t>
  </si>
  <si>
    <t>TSE — parcial das 22h</t>
  </si>
  <si>
    <t>04/10/2026, 22h</t>
  </si>
  <si>
    <t>Malha dos estados usada no mapa do vídeo</t>
  </si>
  <si>
    <t>IBGE — API de Malhas Territoriais</t>
  </si>
  <si>
    <t>2026</t>
  </si>
  <si>
    <t>https://servicodados.ibge.gov.br/api/docs/malhas</t>
  </si>
  <si>
    <t>Contexto histórico (menor diferença no 1º turno)</t>
  </si>
  <si>
    <t>Folha de S.Paulo</t>
  </si>
  <si>
    <t>04/10/2026</t>
  </si>
  <si>
    <t>https://www1.folha.uol.com.br/poder/2026/10/diferenca-entre-flavio-e-lula-e-a-menor-da-historia-no-1o-turno-em-eleicao-presidencial.shtml</t>
  </si>
  <si>
    <t>• Os números desta planilha são dados observados do TSE; nenhum valor foi estimado.</t>
  </si>
  <si>
    <t>• Os arquivos por UF do TSE foram consultados segundos após o nacional; pequenas diferenças (centenas de votos) entre a soma das UFs e o total nacional são esperadas.</t>
  </si>
  <si>
    <t>• O SIMULADOR é uma conta matemática com hipóteses editáveis: não é pesquisa, não é previsão e não considera quem de fato vai votar.</t>
  </si>
  <si>
    <t>• Conteúdo educativo de análise de dados: não defende nem ataca nenhum candidato.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</si>
</sst>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&quot;-&quot;"/>
    <numFmt numFmtId="165" formatCode="0.00%;\(0.00%\);&quot;-&quot;"/>
    <numFmt numFmtId="166" formatCode="0.0&quot;x&quot;"/>
    <numFmt numFmtId="167" formatCode="0.0%"/>
  </numFmts>
  <fonts count="14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9"/>
      <color rgb="FF374151"/>
      <name val="Arial"/>
    </font>
    <font>
      <b/>
      <sz val="10"/>
      <color rgb="FFFFFFFF"/>
      <name val="Arial"/>
    </font>
    <font>
      <sz val="10"/>
      <color rgb="FF0000FF"/>
      <name val="Arial"/>
    </font>
    <font>
      <b/>
      <sz val="10"/>
      <color rgb="FF0000FF"/>
      <name val="Arial"/>
    </font>
    <font>
      <b/>
      <sz val="10"/>
      <color rgb="FF000000"/>
      <name val="Arial"/>
    </font>
    <font>
      <sz val="10"/>
      <color rgb="FF008000"/>
      <name val="Arial"/>
    </font>
    <font>
      <b/>
      <sz val="10"/>
      <color rgb="FFB45309"/>
      <name val="Arial"/>
    </font>
    <font>
      <b/>
      <sz val="10"/>
      <color rgb="FF1F2937"/>
      <name val="Arial"/>
    </font>
    <font>
      <b/>
      <sz val="18"/>
      <color rgb="FF008000"/>
      <name val="Arial"/>
    </font>
    <font>
      <b/>
      <sz val="10"/>
      <color rgb="FF008000"/>
      <name val="Arial"/>
    </font>
    <font>
      <sz val="10"/>
      <color rgb="FF1D4ED8"/>
      <name val="Arial"/>
    </font>
    <font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217346"/>
      </patternFill>
    </fill>
    <fill>
      <patternFill patternType="solid">
        <fgColor rgb="FFEAF4EF"/>
      </patternFill>
    </fill>
    <fill>
      <patternFill patternType="solid">
        <fgColor rgb="FFFFFF00"/>
      </patternFill>
    </fill>
    <fill>
      <patternFill patternType="solid">
        <fgColor rgb="FFFFF7D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3" fillId="0" borderId="0" xfId="0" applyFont="1"/>
    <xf numFmtId="0" fontId="13" fillId="0" borderId="1" xfId="0" applyFont="1" applyBorder="1"/>
    <xf numFmtId="0" fontId="3" fillId="2" borderId="0" xfId="0" applyFont="1" applyFill="1"/>
    <xf numFmtId="0" fontId="13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165" fontId="13" fillId="0" borderId="1" xfId="0" applyNumberFormat="1" applyFont="1" applyBorder="1"/>
    <xf numFmtId="0" fontId="6" fillId="0" borderId="0" xfId="0" applyFont="1"/>
    <xf numFmtId="164" fontId="13" fillId="0" borderId="0" xfId="0" applyNumberFormat="1" applyFont="1"/>
    <xf numFmtId="165" fontId="13" fillId="0" borderId="0" xfId="0" applyNumberFormat="1" applyFont="1"/>
    <xf numFmtId="164" fontId="5" fillId="0" borderId="0" xfId="0" applyNumberFormat="1" applyFont="1"/>
    <xf numFmtId="164" fontId="4" fillId="0" borderId="0" xfId="0" applyNumberFormat="1" applyFont="1"/>
    <xf numFmtId="164" fontId="13" fillId="0" borderId="1" xfId="0" applyNumberFormat="1" applyFont="1" applyBorder="1"/>
    <xf numFmtId="0" fontId="4" fillId="0" borderId="1" xfId="0" applyFont="1" applyBorder="1"/>
    <xf numFmtId="0" fontId="6" fillId="5" borderId="1" xfId="0" applyFont="1" applyFill="1" applyBorder="1"/>
    <xf numFmtId="0" fontId="13" fillId="5" borderId="1" xfId="0" applyFont="1" applyFill="1" applyBorder="1"/>
    <xf numFmtId="164" fontId="6" fillId="5" borderId="1" xfId="0" applyNumberFormat="1" applyFont="1" applyFill="1" applyBorder="1"/>
    <xf numFmtId="165" fontId="13" fillId="5" borderId="1" xfId="0" applyNumberFormat="1" applyFont="1" applyFill="1" applyBorder="1"/>
    <xf numFmtId="164" fontId="13" fillId="5" borderId="1" xfId="0" applyNumberFormat="1" applyFont="1" applyFill="1" applyBorder="1"/>
    <xf numFmtId="166" fontId="13" fillId="0" borderId="0" xfId="0" applyNumberFormat="1" applyFont="1"/>
    <xf numFmtId="0" fontId="2" fillId="0" borderId="0" xfId="0" applyFont="1"/>
    <xf numFmtId="0" fontId="6" fillId="0" borderId="1" xfId="0" applyFont="1" applyBorder="1"/>
    <xf numFmtId="164" fontId="7" fillId="0" borderId="1" xfId="0" applyNumberFormat="1" applyFont="1" applyBorder="1"/>
    <xf numFmtId="0" fontId="6" fillId="5" borderId="0" xfId="0" applyFont="1" applyFill="1"/>
    <xf numFmtId="164" fontId="7" fillId="0" borderId="0" xfId="0" applyNumberFormat="1" applyFont="1"/>
    <xf numFmtId="0" fontId="6" fillId="5" borderId="0" xfId="0" applyFont="1" applyFill="1" applyAlignment="1">
      <alignment vertical="center" wrapText="1"/>
    </xf>
    <xf numFmtId="9" fontId="5" fillId="6" borderId="1" xfId="0" applyNumberFormat="1" applyFont="1" applyFill="1" applyBorder="1"/>
    <xf numFmtId="9" fontId="13" fillId="0" borderId="0" xfId="0" applyNumberFormat="1" applyFont="1"/>
    <xf numFmtId="0" fontId="5" fillId="6" borderId="1" xfId="0" applyFont="1" applyFill="1" applyBorder="1"/>
    <xf numFmtId="167" fontId="5" fillId="6" borderId="1" xfId="0" applyNumberFormat="1" applyFont="1" applyFill="1" applyBorder="1"/>
    <xf numFmtId="0" fontId="3" fillId="2" borderId="0" xfId="0" applyFont="1" applyFill="1" applyAlignment="1">
      <alignment vertical="center" wrapText="1"/>
    </xf>
    <xf numFmtId="164" fontId="6" fillId="0" borderId="0" xfId="0" applyNumberFormat="1" applyFont="1"/>
    <xf numFmtId="165" fontId="6" fillId="0" borderId="0" xfId="0" applyNumberFormat="1" applyFont="1"/>
    <xf numFmtId="167" fontId="13" fillId="0" borderId="0" xfId="0" applyNumberFormat="1" applyFont="1"/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6" fontId="11" fillId="0" borderId="1" xfId="0" applyNumberFormat="1" applyFont="1" applyBorder="1"/>
    <xf numFmtId="0" fontId="13" fillId="0" borderId="1" xfId="0" applyFont="1" applyBorder="1"/>
    <xf numFmtId="0" fontId="3" fillId="2" borderId="0" xfId="0" applyFont="1" applyFill="1"/>
    <xf numFmtId="0" fontId="13" fillId="0" borderId="0" xfId="0" applyFont="1"/>
    <xf numFmtId="164" fontId="11" fillId="0" borderId="1" xfId="0" applyNumberFormat="1" applyFont="1" applyBorder="1"/>
    <xf numFmtId="165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" fillId="2" borderId="0" xfId="0" applyFont="1" applyFill="1" applyAlignment="1">
      <alignment vertical="center" indent="1"/>
    </xf>
    <xf numFmtId="1" fontId="11" fillId="0" borderId="1" xfId="0" applyNumberFormat="1" applyFont="1" applyBorder="1"/>
    <xf numFmtId="0" fontId="9" fillId="5" borderId="0" xfId="0" applyFont="1" applyFill="1" applyAlignment="1">
      <alignment horizontal="center"/>
    </xf>
    <xf numFmtId="0" fontId="3" fillId="4" borderId="0" xfId="0" applyFont="1" applyFill="1"/>
    <xf numFmtId="49" fontId="11" fillId="0" borderId="1" xfId="0" applyNumberFormat="1" applyFont="1" applyBorder="1"/>
    <xf numFmtId="0" fontId="13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 indent="1"/>
    </xf>
    <xf numFmtId="0" fontId="2" fillId="0" borderId="0" xfId="0" applyFont="1" applyAlignment="1">
      <alignment vertical="top" wrapText="1"/>
    </xf>
    <xf numFmtId="0" fontId="8" fillId="7" borderId="0" xfId="0" applyFont="1" applyFill="1" applyAlignment="1">
      <alignment vertical="top" wrapText="1"/>
    </xf>
    <xf numFmtId="0" fontId="13" fillId="0" borderId="0" xfId="0" applyFont="1" applyAlignment="1">
      <alignment wrapText="1"/>
    </xf>
  </cellXfs>
  <cellStyles count="1">
    <cellStyle name="Normal" xfId="0" builtinId="0"/>
  </cellStyles>
  <dxfs count="2">
    <dxf>
      <fill>
        <patternFill patternType="solid">
          <fgColor rgb="FFCCFBF1"/>
        </patternFill>
      </fill>
    </dxf>
    <dxf>
      <fill>
        <patternFill patternType="solid">
          <f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/>
            </a:pPr>
            <a:r>
              <a:t>Votos por região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REGIOES!$B$4</c:f>
              <c:strCache>
                <c:ptCount val="1"/>
                <c:pt idx="0">
                  <c:v>Votos Lula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REGIOES!$A$5:$A$10</c:f>
              <c:strCache>
                <c:ptCount val="6"/>
                <c:pt idx="0">
                  <c:v>Norte</c:v>
                </c:pt>
                <c:pt idx="1">
                  <c:v>Nordeste</c:v>
                </c:pt>
                <c:pt idx="2">
                  <c:v>Centro-Oeste</c:v>
                </c:pt>
                <c:pt idx="3">
                  <c:v>Sudeste</c:v>
                </c:pt>
                <c:pt idx="4">
                  <c:v>Sul</c:v>
                </c:pt>
                <c:pt idx="5">
                  <c:v>Exterior</c:v>
                </c:pt>
              </c:strCache>
            </c:strRef>
          </c:cat>
          <c:val>
            <c:numRef>
              <c:f>REGIOES!$B$5:$B$10</c:f>
              <c:numCache>
                <c:formatCode>#,##0;\(#,##0\);"-"</c:formatCode>
                <c:ptCount val="6"/>
                <c:pt idx="0">
                  <c:v>4546194</c:v>
                </c:pt>
                <c:pt idx="1">
                  <c:v>21478161</c:v>
                </c:pt>
                <c:pt idx="2">
                  <c:v>2963043</c:v>
                </c:pt>
                <c:pt idx="3">
                  <c:v>19236786</c:v>
                </c:pt>
                <c:pt idx="4">
                  <c:v>5476524</c:v>
                </c:pt>
                <c:pt idx="5">
                  <c:v>157387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A7-455F-A9D5-E81ED293CC08}"/>
            </c:ext>
          </c:extLst>
        </c:ser>
        <c:ser>
          <c:idx val="1"/>
          <c:order val="1"/>
          <c:tx>
            <c:strRef>
              <c:f>REGIOES!$C$4</c:f>
              <c:strCache>
                <c:ptCount val="1"/>
                <c:pt idx="0">
                  <c:v>Votos Flávio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REGIOES!$A$5:$A$10</c:f>
              <c:strCache>
                <c:ptCount val="6"/>
                <c:pt idx="0">
                  <c:v>Norte</c:v>
                </c:pt>
                <c:pt idx="1">
                  <c:v>Nordeste</c:v>
                </c:pt>
                <c:pt idx="2">
                  <c:v>Centro-Oeste</c:v>
                </c:pt>
                <c:pt idx="3">
                  <c:v>Sudeste</c:v>
                </c:pt>
                <c:pt idx="4">
                  <c:v>Sul</c:v>
                </c:pt>
                <c:pt idx="5">
                  <c:v>Exterior</c:v>
                </c:pt>
              </c:strCache>
            </c:strRef>
          </c:cat>
          <c:val>
            <c:numRef>
              <c:f>REGIOES!$C$5:$C$10</c:f>
              <c:numCache>
                <c:formatCode>#,##0;\(#,##0\);"-"</c:formatCode>
                <c:ptCount val="6"/>
                <c:pt idx="0">
                  <c:v>5008927</c:v>
                </c:pt>
                <c:pt idx="1">
                  <c:v>10395783</c:v>
                </c:pt>
                <c:pt idx="2">
                  <c:v>5133436</c:v>
                </c:pt>
                <c:pt idx="3">
                  <c:v>24899391</c:v>
                </c:pt>
                <c:pt idx="4">
                  <c:v>10519148</c:v>
                </c:pt>
                <c:pt idx="5">
                  <c:v>143900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A7-455F-A9D5-E81ED293C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votos</a:t>
                </a:r>
              </a:p>
            </c:rich>
          </c:tx>
          <c:overlay val="1"/>
        </c:title>
        <c:numFmt formatCode="#,##0;\(#,##0\);&quot;-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codados.ibge.gov.br/api/docs/malhas" TargetMode="External"/><Relationship Id="rId2" Type="http://schemas.openxmlformats.org/officeDocument/2006/relationships/hyperlink" Target="https://resultados.tse.jus.br/oficial/app/index.html" TargetMode="External"/><Relationship Id="rId1" Type="http://schemas.openxmlformats.org/officeDocument/2006/relationships/hyperlink" Target="https://resultados.tse.jus.br/oficial/app/index.html" TargetMode="External"/><Relationship Id="rId4" Type="http://schemas.openxmlformats.org/officeDocument/2006/relationships/hyperlink" Target="https://www1.folha.uol.com.br/poder/2026/10/diferenca-entre-flavio-e-lula-e-a-menor-da-historia-no-1o-turno-em-eleicao-presidencial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sqref="A1:H1"/>
    </sheetView>
  </sheetViews>
  <sheetFormatPr defaultRowHeight="14.4" x14ac:dyDescent="0.3"/>
  <cols>
    <col min="1" max="8" width="14" customWidth="1"/>
  </cols>
  <sheetData>
    <row r="1" spans="1:8" ht="30" customHeight="1" x14ac:dyDescent="0.3">
      <c r="A1" s="44" t="s">
        <v>0</v>
      </c>
      <c r="B1" s="40"/>
      <c r="C1" s="40"/>
      <c r="D1" s="40"/>
      <c r="E1" s="40"/>
      <c r="F1" s="40"/>
      <c r="G1" s="40"/>
      <c r="H1" s="40"/>
    </row>
    <row r="2" spans="1:8" ht="30" customHeight="1" x14ac:dyDescent="0.3">
      <c r="A2" s="50" t="s">
        <v>1</v>
      </c>
      <c r="B2" s="40"/>
      <c r="C2" s="40"/>
      <c r="D2" s="40"/>
      <c r="E2" s="40"/>
      <c r="F2" s="40"/>
      <c r="G2" s="40"/>
      <c r="H2" s="40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46" t="s">
        <v>2</v>
      </c>
      <c r="B4" s="40"/>
      <c r="C4" s="46" t="s">
        <v>3</v>
      </c>
      <c r="D4" s="40"/>
      <c r="E4" s="46" t="s">
        <v>4</v>
      </c>
      <c r="F4" s="40"/>
      <c r="G4" s="46" t="s">
        <v>5</v>
      </c>
      <c r="H4" s="40"/>
    </row>
    <row r="5" spans="1:8" ht="34.049999999999997" customHeight="1" x14ac:dyDescent="0.4">
      <c r="A5" s="42">
        <f>NACIONAL!E5</f>
        <v>0.47034862862733856</v>
      </c>
      <c r="B5" s="40"/>
      <c r="C5" s="42">
        <f>NACIONAL!E6</f>
        <v>0.45154582585656122</v>
      </c>
      <c r="D5" s="40"/>
      <c r="E5" s="43">
        <f>NACIONAL!D22</f>
        <v>2242693</v>
      </c>
      <c r="F5" s="40"/>
      <c r="G5" s="43">
        <f>NACIONAL!D19</f>
        <v>119274399</v>
      </c>
      <c r="H5" s="40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47" t="s">
        <v>6</v>
      </c>
      <c r="B7" s="40"/>
      <c r="C7" s="40"/>
      <c r="D7" s="40"/>
      <c r="E7" s="40"/>
      <c r="F7" s="40"/>
      <c r="G7" s="40"/>
      <c r="H7" s="40"/>
    </row>
    <row r="8" spans="1:8" x14ac:dyDescent="0.3">
      <c r="A8" s="38" t="s">
        <v>7</v>
      </c>
      <c r="B8" s="38"/>
      <c r="C8" s="38"/>
      <c r="D8" s="38"/>
      <c r="E8" s="38"/>
      <c r="F8" s="38"/>
      <c r="G8" s="45">
        <f>ESTADOS!I35</f>
        <v>15</v>
      </c>
      <c r="H8" s="38"/>
    </row>
    <row r="9" spans="1:8" x14ac:dyDescent="0.3">
      <c r="A9" s="38" t="s">
        <v>8</v>
      </c>
      <c r="B9" s="38"/>
      <c r="C9" s="38"/>
      <c r="D9" s="38"/>
      <c r="E9" s="38"/>
      <c r="F9" s="38"/>
      <c r="G9" s="45">
        <f>ESTADOS!I36</f>
        <v>12</v>
      </c>
      <c r="H9" s="38"/>
    </row>
    <row r="10" spans="1:8" x14ac:dyDescent="0.3">
      <c r="A10" s="38" t="s">
        <v>9</v>
      </c>
      <c r="B10" s="38"/>
      <c r="C10" s="38"/>
      <c r="D10" s="38"/>
      <c r="E10" s="38"/>
      <c r="F10" s="38"/>
      <c r="G10" s="48" t="str">
        <f>ESTADOS!I38</f>
        <v>SP</v>
      </c>
      <c r="H10" s="38"/>
    </row>
    <row r="11" spans="1:8" x14ac:dyDescent="0.3">
      <c r="A11" s="38" t="s">
        <v>10</v>
      </c>
      <c r="B11" s="38"/>
      <c r="C11" s="38"/>
      <c r="D11" s="38"/>
      <c r="E11" s="38"/>
      <c r="F11" s="38"/>
      <c r="G11" s="41">
        <f>ESTADOS!I37</f>
        <v>3416610</v>
      </c>
      <c r="H11" s="38"/>
    </row>
    <row r="12" spans="1:8" x14ac:dyDescent="0.3">
      <c r="A12" s="38" t="s">
        <v>11</v>
      </c>
      <c r="B12" s="38"/>
      <c r="C12" s="38"/>
      <c r="D12" s="38"/>
      <c r="E12" s="38"/>
      <c r="F12" s="38"/>
      <c r="G12" s="37">
        <f>ESTADOS!I39</f>
        <v>76.434741740773177</v>
      </c>
      <c r="H12" s="38"/>
    </row>
    <row r="13" spans="1:8" x14ac:dyDescent="0.3">
      <c r="A13" s="38" t="s">
        <v>12</v>
      </c>
      <c r="B13" s="38"/>
      <c r="C13" s="38"/>
      <c r="D13" s="38"/>
      <c r="E13" s="38"/>
      <c r="F13" s="38"/>
      <c r="G13" s="41">
        <f>NACIONAL!D18</f>
        <v>9315992</v>
      </c>
      <c r="H13" s="38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39" t="s">
        <v>13</v>
      </c>
      <c r="B15" s="40"/>
      <c r="C15" s="40"/>
      <c r="D15" s="40"/>
      <c r="E15" s="40"/>
      <c r="F15" s="40"/>
      <c r="G15" s="40"/>
      <c r="H15" s="40"/>
    </row>
    <row r="16" spans="1:8" ht="28.05" customHeight="1" x14ac:dyDescent="0.3">
      <c r="A16" s="49" t="s">
        <v>14</v>
      </c>
      <c r="B16" s="40"/>
      <c r="C16" s="40"/>
      <c r="D16" s="40"/>
      <c r="E16" s="40"/>
      <c r="F16" s="40"/>
      <c r="G16" s="40"/>
      <c r="H16" s="40"/>
    </row>
    <row r="17" spans="1:8" ht="28.05" customHeight="1" x14ac:dyDescent="0.3">
      <c r="A17" s="49" t="s">
        <v>15</v>
      </c>
      <c r="B17" s="40"/>
      <c r="C17" s="40"/>
      <c r="D17" s="40"/>
      <c r="E17" s="40"/>
      <c r="F17" s="40"/>
      <c r="G17" s="40"/>
      <c r="H17" s="40"/>
    </row>
    <row r="18" spans="1:8" ht="28.05" customHeight="1" x14ac:dyDescent="0.3">
      <c r="A18" s="49" t="s">
        <v>16</v>
      </c>
      <c r="B18" s="40"/>
      <c r="C18" s="40"/>
      <c r="D18" s="40"/>
      <c r="E18" s="40"/>
      <c r="F18" s="40"/>
      <c r="G18" s="40"/>
      <c r="H18" s="40"/>
    </row>
    <row r="19" spans="1:8" ht="28.05" customHeight="1" x14ac:dyDescent="0.3">
      <c r="A19" s="49" t="s">
        <v>17</v>
      </c>
      <c r="B19" s="40"/>
      <c r="C19" s="40"/>
      <c r="D19" s="40"/>
      <c r="E19" s="40"/>
      <c r="F19" s="40"/>
      <c r="G19" s="40"/>
      <c r="H19" s="40"/>
    </row>
    <row r="20" spans="1:8" ht="28.05" customHeight="1" x14ac:dyDescent="0.3">
      <c r="A20" s="49" t="s">
        <v>18</v>
      </c>
      <c r="B20" s="40"/>
      <c r="C20" s="40"/>
      <c r="D20" s="40"/>
      <c r="E20" s="40"/>
      <c r="F20" s="40"/>
      <c r="G20" s="40"/>
      <c r="H20" s="40"/>
    </row>
  </sheetData>
  <mergeCells count="29">
    <mergeCell ref="A20:H20"/>
    <mergeCell ref="A19:H19"/>
    <mergeCell ref="G9:H9"/>
    <mergeCell ref="A16:H16"/>
    <mergeCell ref="A8:F8"/>
    <mergeCell ref="G13:H13"/>
    <mergeCell ref="A18:H18"/>
    <mergeCell ref="A10:F10"/>
    <mergeCell ref="A13:F13"/>
    <mergeCell ref="A9:F9"/>
    <mergeCell ref="A17:H17"/>
    <mergeCell ref="A11:F11"/>
    <mergeCell ref="A1:H1"/>
    <mergeCell ref="G8:H8"/>
    <mergeCell ref="C4:D4"/>
    <mergeCell ref="E4:F4"/>
    <mergeCell ref="A7:H7"/>
    <mergeCell ref="A2:H2"/>
    <mergeCell ref="A5:B5"/>
    <mergeCell ref="G5:H5"/>
    <mergeCell ref="A4:B4"/>
    <mergeCell ref="G4:H4"/>
    <mergeCell ref="G12:H12"/>
    <mergeCell ref="A15:H15"/>
    <mergeCell ref="G11:H11"/>
    <mergeCell ref="C5:D5"/>
    <mergeCell ref="E5:F5"/>
    <mergeCell ref="A12:F12"/>
    <mergeCell ref="G10:H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/>
  </sheetViews>
  <sheetFormatPr defaultRowHeight="14.4" x14ac:dyDescent="0.3"/>
  <cols>
    <col min="1" max="1" width="38" customWidth="1"/>
    <col min="2" max="2" width="10" customWidth="1"/>
    <col min="3" max="3" width="14" customWidth="1"/>
    <col min="4" max="4" width="16" customWidth="1"/>
    <col min="5" max="5" width="14" customWidth="1"/>
    <col min="6" max="6" width="22" customWidth="1"/>
  </cols>
  <sheetData>
    <row r="1" spans="1:6" ht="30" customHeight="1" x14ac:dyDescent="0.3">
      <c r="A1" s="44" t="s">
        <v>19</v>
      </c>
      <c r="B1" s="40"/>
      <c r="C1" s="40"/>
      <c r="D1" s="40"/>
      <c r="E1" s="40"/>
      <c r="F1" s="40"/>
    </row>
    <row r="2" spans="1:6" ht="30" customHeight="1" x14ac:dyDescent="0.3">
      <c r="A2" s="50" t="s">
        <v>20</v>
      </c>
      <c r="B2" s="40"/>
      <c r="C2" s="40"/>
      <c r="D2" s="40"/>
      <c r="E2" s="40"/>
      <c r="F2" s="40"/>
    </row>
    <row r="3" spans="1:6" x14ac:dyDescent="0.3">
      <c r="A3" s="1"/>
      <c r="B3" s="1"/>
      <c r="C3" s="1"/>
      <c r="D3" s="1"/>
      <c r="E3" s="1"/>
      <c r="F3" s="1"/>
    </row>
    <row r="4" spans="1:6" ht="31.95" customHeight="1" x14ac:dyDescent="0.3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</row>
    <row r="5" spans="1:6" x14ac:dyDescent="0.3">
      <c r="A5" s="2" t="s">
        <v>27</v>
      </c>
      <c r="B5" s="2">
        <v>22</v>
      </c>
      <c r="C5" s="2" t="s">
        <v>28</v>
      </c>
      <c r="D5" s="6">
        <v>56100550</v>
      </c>
      <c r="E5" s="7">
        <f t="shared" ref="E5:E16" si="0">D5/$D$19</f>
        <v>0.47034862862733856</v>
      </c>
      <c r="F5" s="2" t="s">
        <v>29</v>
      </c>
    </row>
    <row r="6" spans="1:6" x14ac:dyDescent="0.3">
      <c r="A6" s="2" t="s">
        <v>30</v>
      </c>
      <c r="B6" s="2">
        <v>13</v>
      </c>
      <c r="C6" s="2" t="s">
        <v>31</v>
      </c>
      <c r="D6" s="6">
        <v>53857857</v>
      </c>
      <c r="E6" s="7">
        <f t="shared" si="0"/>
        <v>0.45154582585656122</v>
      </c>
      <c r="F6" s="2" t="s">
        <v>29</v>
      </c>
    </row>
    <row r="7" spans="1:6" x14ac:dyDescent="0.3">
      <c r="A7" s="2" t="s">
        <v>32</v>
      </c>
      <c r="B7" s="2">
        <v>70</v>
      </c>
      <c r="C7" s="2" t="s">
        <v>33</v>
      </c>
      <c r="D7" s="6">
        <v>3448237</v>
      </c>
      <c r="E7" s="7">
        <f t="shared" si="0"/>
        <v>2.8910118423652674E-2</v>
      </c>
      <c r="F7" s="2"/>
    </row>
    <row r="8" spans="1:6" x14ac:dyDescent="0.3">
      <c r="A8" s="2" t="s">
        <v>34</v>
      </c>
      <c r="B8" s="2">
        <v>14</v>
      </c>
      <c r="C8" s="2" t="s">
        <v>35</v>
      </c>
      <c r="D8" s="6">
        <v>2675724</v>
      </c>
      <c r="E8" s="7">
        <f t="shared" si="0"/>
        <v>2.2433347159435277E-2</v>
      </c>
      <c r="F8" s="2"/>
    </row>
    <row r="9" spans="1:6" x14ac:dyDescent="0.3">
      <c r="A9" s="2" t="s">
        <v>36</v>
      </c>
      <c r="B9" s="2">
        <v>55</v>
      </c>
      <c r="C9" s="2" t="s">
        <v>37</v>
      </c>
      <c r="D9" s="6">
        <v>2604924</v>
      </c>
      <c r="E9" s="7">
        <f t="shared" si="0"/>
        <v>2.1839757918210093E-2</v>
      </c>
      <c r="F9" s="2"/>
    </row>
    <row r="10" spans="1:6" x14ac:dyDescent="0.3">
      <c r="A10" s="2" t="s">
        <v>38</v>
      </c>
      <c r="B10" s="2">
        <v>30</v>
      </c>
      <c r="C10" s="2" t="s">
        <v>39</v>
      </c>
      <c r="D10" s="6">
        <v>326472</v>
      </c>
      <c r="E10" s="7">
        <f t="shared" si="0"/>
        <v>2.7371506604698969E-3</v>
      </c>
      <c r="F10" s="2"/>
    </row>
    <row r="11" spans="1:6" x14ac:dyDescent="0.3">
      <c r="A11" s="2" t="s">
        <v>40</v>
      </c>
      <c r="B11" s="2">
        <v>80</v>
      </c>
      <c r="C11" s="2" t="s">
        <v>41</v>
      </c>
      <c r="D11" s="6">
        <v>122906</v>
      </c>
      <c r="E11" s="7">
        <f t="shared" si="0"/>
        <v>1.0304474474861953E-3</v>
      </c>
      <c r="F11" s="2"/>
    </row>
    <row r="12" spans="1:6" x14ac:dyDescent="0.3">
      <c r="A12" s="2" t="s">
        <v>42</v>
      </c>
      <c r="B12" s="2">
        <v>16</v>
      </c>
      <c r="C12" s="2" t="s">
        <v>43</v>
      </c>
      <c r="D12" s="6">
        <v>43100</v>
      </c>
      <c r="E12" s="7">
        <f t="shared" si="0"/>
        <v>3.6135164261024696E-4</v>
      </c>
      <c r="F12" s="2"/>
    </row>
    <row r="13" spans="1:6" x14ac:dyDescent="0.3">
      <c r="A13" s="2" t="s">
        <v>44</v>
      </c>
      <c r="B13" s="2">
        <v>27</v>
      </c>
      <c r="C13" s="2" t="s">
        <v>45</v>
      </c>
      <c r="D13" s="6">
        <v>40041</v>
      </c>
      <c r="E13" s="7">
        <f t="shared" si="0"/>
        <v>3.3570489841663339E-4</v>
      </c>
      <c r="F13" s="2"/>
    </row>
    <row r="14" spans="1:6" x14ac:dyDescent="0.3">
      <c r="A14" s="2" t="s">
        <v>46</v>
      </c>
      <c r="B14" s="2">
        <v>21</v>
      </c>
      <c r="C14" s="2" t="s">
        <v>47</v>
      </c>
      <c r="D14" s="6">
        <v>22688</v>
      </c>
      <c r="E14" s="7">
        <f t="shared" si="0"/>
        <v>1.9021684611464696E-4</v>
      </c>
      <c r="F14" s="2"/>
    </row>
    <row r="15" spans="1:6" x14ac:dyDescent="0.3">
      <c r="A15" s="2" t="s">
        <v>48</v>
      </c>
      <c r="B15" s="2">
        <v>35</v>
      </c>
      <c r="C15" s="2" t="s">
        <v>49</v>
      </c>
      <c r="D15" s="6">
        <v>16876</v>
      </c>
      <c r="E15" s="7">
        <f t="shared" si="0"/>
        <v>1.4148887054966423E-4</v>
      </c>
      <c r="F15" s="2"/>
    </row>
    <row r="16" spans="1:6" x14ac:dyDescent="0.3">
      <c r="A16" s="2" t="s">
        <v>50</v>
      </c>
      <c r="B16" s="2">
        <v>29</v>
      </c>
      <c r="C16" s="2" t="s">
        <v>51</v>
      </c>
      <c r="D16" s="6">
        <v>15024</v>
      </c>
      <c r="E16" s="7">
        <f t="shared" si="0"/>
        <v>1.2596164915490372E-4</v>
      </c>
      <c r="F16" s="2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8" t="s">
        <v>52</v>
      </c>
      <c r="B18" s="1"/>
      <c r="C18" s="1"/>
      <c r="D18" s="9">
        <f>SUM(D7:D16)</f>
        <v>9315992</v>
      </c>
      <c r="E18" s="10">
        <f>D18/D19</f>
        <v>7.810554551610023E-2</v>
      </c>
      <c r="F18" s="1"/>
    </row>
    <row r="19" spans="1:6" x14ac:dyDescent="0.3">
      <c r="A19" s="8" t="s">
        <v>53</v>
      </c>
      <c r="B19" s="1"/>
      <c r="C19" s="1"/>
      <c r="D19" s="11">
        <v>119274399</v>
      </c>
      <c r="E19" s="1"/>
      <c r="F19" s="1"/>
    </row>
    <row r="20" spans="1:6" x14ac:dyDescent="0.3">
      <c r="A20" s="8" t="s">
        <v>54</v>
      </c>
      <c r="B20" s="1"/>
      <c r="C20" s="1"/>
      <c r="D20" s="9">
        <f>SUM(D5:D16)</f>
        <v>119274399</v>
      </c>
      <c r="E20" s="9">
        <f>D20-D19</f>
        <v>0</v>
      </c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8" t="s">
        <v>55</v>
      </c>
      <c r="B22" s="1"/>
      <c r="C22" s="1"/>
      <c r="D22" s="9">
        <f>D5-D6</f>
        <v>2242693</v>
      </c>
      <c r="E22" s="1"/>
      <c r="F22" s="1"/>
    </row>
    <row r="23" spans="1:6" x14ac:dyDescent="0.3">
      <c r="A23" s="8" t="s">
        <v>56</v>
      </c>
      <c r="B23" s="1"/>
      <c r="C23" s="1"/>
      <c r="D23" s="10">
        <f>E5-E6</f>
        <v>1.8802802770777338E-2</v>
      </c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 t="s">
        <v>57</v>
      </c>
      <c r="B25" s="1"/>
      <c r="C25" s="1"/>
      <c r="D25" s="12">
        <v>2300498</v>
      </c>
      <c r="E25" s="1"/>
      <c r="F25" s="1"/>
    </row>
    <row r="26" spans="1:6" x14ac:dyDescent="0.3">
      <c r="A26" s="1" t="s">
        <v>58</v>
      </c>
      <c r="B26" s="1"/>
      <c r="C26" s="1"/>
      <c r="D26" s="12">
        <v>3673210</v>
      </c>
      <c r="E26" s="1"/>
      <c r="F26" s="1"/>
    </row>
    <row r="27" spans="1:6" x14ac:dyDescent="0.3">
      <c r="A27" s="1" t="s">
        <v>59</v>
      </c>
      <c r="B27" s="1"/>
      <c r="C27" s="1"/>
      <c r="D27" s="12">
        <v>125248107</v>
      </c>
      <c r="E27" s="1"/>
      <c r="F27" s="1"/>
    </row>
    <row r="28" spans="1:6" x14ac:dyDescent="0.3">
      <c r="A28" s="1" t="s">
        <v>60</v>
      </c>
      <c r="B28" s="1"/>
      <c r="C28" s="1"/>
      <c r="D28" s="12">
        <v>33462864</v>
      </c>
      <c r="E28" s="1"/>
      <c r="F28" s="1"/>
    </row>
    <row r="29" spans="1:6" x14ac:dyDescent="0.3">
      <c r="A29" s="1" t="s">
        <v>61</v>
      </c>
      <c r="B29" s="1"/>
      <c r="C29" s="1"/>
      <c r="D29" s="12">
        <v>158745502</v>
      </c>
      <c r="E29" s="1"/>
      <c r="F29" s="1"/>
    </row>
    <row r="30" spans="1:6" x14ac:dyDescent="0.3">
      <c r="A30" s="1" t="s">
        <v>62</v>
      </c>
      <c r="B30" s="1"/>
      <c r="C30" s="1"/>
      <c r="D30" s="10">
        <f>D28/D29</f>
        <v>0.21079566714274525</v>
      </c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51" t="s">
        <v>63</v>
      </c>
      <c r="B32" s="40"/>
      <c r="C32" s="40"/>
      <c r="D32" s="40"/>
      <c r="E32" s="40"/>
      <c r="F32" s="40"/>
    </row>
    <row r="33" spans="1:6" x14ac:dyDescent="0.3">
      <c r="A33" s="40"/>
      <c r="B33" s="40"/>
      <c r="C33" s="40"/>
      <c r="D33" s="40"/>
      <c r="E33" s="40"/>
      <c r="F33" s="40"/>
    </row>
  </sheetData>
  <mergeCells count="3">
    <mergeCell ref="A2:F2"/>
    <mergeCell ref="A32:F3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6" customWidth="1"/>
    <col min="2" max="2" width="22" customWidth="1"/>
    <col min="3" max="3" width="13" customWidth="1"/>
    <col min="4" max="5" width="14" customWidth="1"/>
    <col min="6" max="6" width="16" customWidth="1"/>
    <col min="7" max="8" width="9" customWidth="1"/>
    <col min="9" max="10" width="18" customWidth="1"/>
    <col min="11" max="11" width="16" customWidth="1"/>
    <col min="12" max="13" width="12" customWidth="1"/>
  </cols>
  <sheetData>
    <row r="1" spans="1:13" ht="30" customHeight="1" x14ac:dyDescent="0.3">
      <c r="A1" s="44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30" customHeight="1" x14ac:dyDescent="0.3">
      <c r="A2" s="50" t="s">
        <v>65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1.95" customHeight="1" x14ac:dyDescent="0.3">
      <c r="A4" s="5" t="s">
        <v>66</v>
      </c>
      <c r="B4" s="5" t="s">
        <v>67</v>
      </c>
      <c r="C4" s="5" t="s">
        <v>68</v>
      </c>
      <c r="D4" s="5" t="s">
        <v>69</v>
      </c>
      <c r="E4" s="5" t="s">
        <v>70</v>
      </c>
      <c r="F4" s="5" t="s">
        <v>71</v>
      </c>
      <c r="G4" s="5" t="s">
        <v>72</v>
      </c>
      <c r="H4" s="5" t="s">
        <v>73</v>
      </c>
      <c r="I4" s="5" t="s">
        <v>74</v>
      </c>
      <c r="J4" s="5" t="s">
        <v>75</v>
      </c>
      <c r="K4" s="5" t="s">
        <v>76</v>
      </c>
      <c r="L4" s="5" t="s">
        <v>77</v>
      </c>
      <c r="M4" s="5" t="s">
        <v>78</v>
      </c>
    </row>
    <row r="5" spans="1:13" x14ac:dyDescent="0.3">
      <c r="A5" s="2" t="s">
        <v>79</v>
      </c>
      <c r="B5" s="2" t="s">
        <v>80</v>
      </c>
      <c r="C5" s="2" t="s">
        <v>81</v>
      </c>
      <c r="D5" s="6">
        <v>134770</v>
      </c>
      <c r="E5" s="6">
        <v>302807</v>
      </c>
      <c r="F5" s="6">
        <v>469066</v>
      </c>
      <c r="G5" s="7">
        <f t="shared" ref="G5:G33" si="0">D5/F5</f>
        <v>0.28731564428033579</v>
      </c>
      <c r="H5" s="7">
        <f t="shared" ref="H5:H33" si="1">E5/F5</f>
        <v>0.64555307781847326</v>
      </c>
      <c r="I5" s="13">
        <f t="shared" ref="I5:I33" si="2">ABS(E5-D5)</f>
        <v>168037</v>
      </c>
      <c r="J5" s="2" t="str">
        <f t="shared" ref="J5:J32" si="3">IF(E5&gt;D5,"Flávio Bolsonaro",IF(D5&gt;E5,"Lula","Empate"))</f>
        <v>Flávio Bolsonaro</v>
      </c>
      <c r="K5" s="13">
        <f t="shared" ref="K5:K32" si="4">F5/100</f>
        <v>4690.66</v>
      </c>
      <c r="L5" s="7">
        <f t="shared" ref="L5:L32" si="5">F5/$F$33</f>
        <v>3.9326537015061461E-3</v>
      </c>
      <c r="M5" s="14" t="s">
        <v>82</v>
      </c>
    </row>
    <row r="6" spans="1:13" x14ac:dyDescent="0.3">
      <c r="A6" s="2" t="s">
        <v>83</v>
      </c>
      <c r="B6" s="2" t="s">
        <v>84</v>
      </c>
      <c r="C6" s="2" t="s">
        <v>85</v>
      </c>
      <c r="D6" s="6">
        <v>995459</v>
      </c>
      <c r="E6" s="6">
        <v>735718</v>
      </c>
      <c r="F6" s="6">
        <v>1818856</v>
      </c>
      <c r="G6" s="7">
        <f t="shared" si="0"/>
        <v>0.5472995113411947</v>
      </c>
      <c r="H6" s="7">
        <f t="shared" si="1"/>
        <v>0.4044949132861535</v>
      </c>
      <c r="I6" s="13">
        <f t="shared" si="2"/>
        <v>259741</v>
      </c>
      <c r="J6" s="2" t="str">
        <f t="shared" si="3"/>
        <v>Lula</v>
      </c>
      <c r="K6" s="13">
        <f t="shared" si="4"/>
        <v>18188.560000000001</v>
      </c>
      <c r="L6" s="7">
        <f t="shared" si="5"/>
        <v>1.5249305600718584E-2</v>
      </c>
      <c r="M6" s="14" t="s">
        <v>82</v>
      </c>
    </row>
    <row r="7" spans="1:13" x14ac:dyDescent="0.3">
      <c r="A7" s="2" t="s">
        <v>86</v>
      </c>
      <c r="B7" s="2" t="s">
        <v>87</v>
      </c>
      <c r="C7" s="2" t="s">
        <v>81</v>
      </c>
      <c r="D7" s="6">
        <v>1043562</v>
      </c>
      <c r="E7" s="6">
        <v>976506</v>
      </c>
      <c r="F7" s="6">
        <v>2167010</v>
      </c>
      <c r="G7" s="7">
        <f t="shared" si="0"/>
        <v>0.4815676900429624</v>
      </c>
      <c r="H7" s="7">
        <f t="shared" si="1"/>
        <v>0.45062367040299767</v>
      </c>
      <c r="I7" s="13">
        <f t="shared" si="2"/>
        <v>67056</v>
      </c>
      <c r="J7" s="2" t="str">
        <f t="shared" si="3"/>
        <v>Lula</v>
      </c>
      <c r="K7" s="13">
        <f t="shared" si="4"/>
        <v>21670.1</v>
      </c>
      <c r="L7" s="7">
        <f t="shared" si="5"/>
        <v>1.8168231970982406E-2</v>
      </c>
      <c r="M7" s="14" t="s">
        <v>88</v>
      </c>
    </row>
    <row r="8" spans="1:13" x14ac:dyDescent="0.3">
      <c r="A8" s="2" t="s">
        <v>89</v>
      </c>
      <c r="B8" s="2" t="s">
        <v>90</v>
      </c>
      <c r="C8" s="2" t="s">
        <v>81</v>
      </c>
      <c r="D8" s="6">
        <v>212503</v>
      </c>
      <c r="E8" s="6">
        <v>212278</v>
      </c>
      <c r="F8" s="6">
        <v>464858</v>
      </c>
      <c r="G8" s="7">
        <f t="shared" si="0"/>
        <v>0.45713529723055213</v>
      </c>
      <c r="H8" s="7">
        <f t="shared" si="1"/>
        <v>0.45665127845492604</v>
      </c>
      <c r="I8" s="13">
        <f t="shared" si="2"/>
        <v>225</v>
      </c>
      <c r="J8" s="2" t="str">
        <f t="shared" si="3"/>
        <v>Lula</v>
      </c>
      <c r="K8" s="13">
        <f t="shared" si="4"/>
        <v>4648.58</v>
      </c>
      <c r="L8" s="7">
        <f t="shared" si="5"/>
        <v>3.8973737904148759E-3</v>
      </c>
      <c r="M8" s="14" t="s">
        <v>82</v>
      </c>
    </row>
    <row r="9" spans="1:13" x14ac:dyDescent="0.3">
      <c r="A9" s="2" t="s">
        <v>91</v>
      </c>
      <c r="B9" s="2" t="s">
        <v>92</v>
      </c>
      <c r="C9" s="2" t="s">
        <v>85</v>
      </c>
      <c r="D9" s="6">
        <v>5654414</v>
      </c>
      <c r="E9" s="6">
        <v>2440375</v>
      </c>
      <c r="F9" s="6">
        <v>8547288</v>
      </c>
      <c r="G9" s="7">
        <f t="shared" si="0"/>
        <v>0.6615448081309534</v>
      </c>
      <c r="H9" s="7">
        <f t="shared" si="1"/>
        <v>0.28551453981660618</v>
      </c>
      <c r="I9" s="13">
        <f t="shared" si="2"/>
        <v>3214039</v>
      </c>
      <c r="J9" s="2" t="str">
        <f t="shared" si="3"/>
        <v>Lula</v>
      </c>
      <c r="K9" s="13">
        <f t="shared" si="4"/>
        <v>85472.88</v>
      </c>
      <c r="L9" s="7">
        <f t="shared" si="5"/>
        <v>7.1660541994173668E-2</v>
      </c>
      <c r="M9" s="14" t="s">
        <v>93</v>
      </c>
    </row>
    <row r="10" spans="1:13" x14ac:dyDescent="0.3">
      <c r="A10" s="2" t="s">
        <v>94</v>
      </c>
      <c r="B10" s="2" t="s">
        <v>95</v>
      </c>
      <c r="C10" s="2" t="s">
        <v>85</v>
      </c>
      <c r="D10" s="6">
        <v>3553636</v>
      </c>
      <c r="E10" s="6">
        <v>1756505</v>
      </c>
      <c r="F10" s="6">
        <v>5615772</v>
      </c>
      <c r="G10" s="7">
        <f t="shared" si="0"/>
        <v>0.63279563344095879</v>
      </c>
      <c r="H10" s="7">
        <f t="shared" si="1"/>
        <v>0.31278068269153375</v>
      </c>
      <c r="I10" s="13">
        <f t="shared" si="2"/>
        <v>1797131</v>
      </c>
      <c r="J10" s="2" t="str">
        <f t="shared" si="3"/>
        <v>Lula</v>
      </c>
      <c r="K10" s="13">
        <f t="shared" si="4"/>
        <v>56157.72</v>
      </c>
      <c r="L10" s="7">
        <f t="shared" si="5"/>
        <v>4.7082684617121201E-2</v>
      </c>
      <c r="M10" s="14" t="s">
        <v>96</v>
      </c>
    </row>
    <row r="11" spans="1:13" x14ac:dyDescent="0.3">
      <c r="A11" s="2" t="s">
        <v>97</v>
      </c>
      <c r="B11" s="2" t="s">
        <v>98</v>
      </c>
      <c r="C11" s="2" t="s">
        <v>99</v>
      </c>
      <c r="D11" s="6">
        <v>675627</v>
      </c>
      <c r="E11" s="6">
        <v>909616</v>
      </c>
      <c r="F11" s="6">
        <v>1772808</v>
      </c>
      <c r="G11" s="7">
        <f t="shared" si="0"/>
        <v>0.38110556811566737</v>
      </c>
      <c r="H11" s="7">
        <f t="shared" si="1"/>
        <v>0.51309335246682097</v>
      </c>
      <c r="I11" s="13">
        <f t="shared" si="2"/>
        <v>233989</v>
      </c>
      <c r="J11" s="2" t="str">
        <f t="shared" si="3"/>
        <v>Flávio Bolsonaro</v>
      </c>
      <c r="K11" s="13">
        <f t="shared" si="4"/>
        <v>17728.080000000002</v>
      </c>
      <c r="L11" s="7">
        <f t="shared" si="5"/>
        <v>1.4863238740944149E-2</v>
      </c>
      <c r="M11" s="14" t="s">
        <v>82</v>
      </c>
    </row>
    <row r="12" spans="1:13" x14ac:dyDescent="0.3">
      <c r="A12" s="2" t="s">
        <v>100</v>
      </c>
      <c r="B12" s="2" t="s">
        <v>101</v>
      </c>
      <c r="C12" s="2" t="s">
        <v>102</v>
      </c>
      <c r="D12" s="6">
        <v>850028</v>
      </c>
      <c r="E12" s="6">
        <v>1233194</v>
      </c>
      <c r="F12" s="6">
        <v>2251078</v>
      </c>
      <c r="G12" s="7">
        <f t="shared" si="0"/>
        <v>0.37760930540834214</v>
      </c>
      <c r="H12" s="7">
        <f t="shared" si="1"/>
        <v>0.54782375377485804</v>
      </c>
      <c r="I12" s="13">
        <f t="shared" si="2"/>
        <v>383166</v>
      </c>
      <c r="J12" s="2" t="str">
        <f t="shared" si="3"/>
        <v>Flávio Bolsonaro</v>
      </c>
      <c r="K12" s="13">
        <f t="shared" si="4"/>
        <v>22510.78</v>
      </c>
      <c r="L12" s="7">
        <f t="shared" si="5"/>
        <v>1.8873058863953161E-2</v>
      </c>
      <c r="M12" s="14" t="s">
        <v>82</v>
      </c>
    </row>
    <row r="13" spans="1:13" x14ac:dyDescent="0.3">
      <c r="A13" s="2" t="s">
        <v>103</v>
      </c>
      <c r="B13" s="2" t="s">
        <v>104</v>
      </c>
      <c r="C13" s="2" t="s">
        <v>99</v>
      </c>
      <c r="D13" s="6">
        <v>1188880</v>
      </c>
      <c r="E13" s="6">
        <v>2051888</v>
      </c>
      <c r="F13" s="6">
        <v>3827823</v>
      </c>
      <c r="G13" s="7">
        <f t="shared" si="0"/>
        <v>0.31058907373721301</v>
      </c>
      <c r="H13" s="7">
        <f t="shared" si="1"/>
        <v>0.53604568445301681</v>
      </c>
      <c r="I13" s="13">
        <f t="shared" si="2"/>
        <v>863008</v>
      </c>
      <c r="J13" s="2" t="str">
        <f t="shared" si="3"/>
        <v>Flávio Bolsonaro</v>
      </c>
      <c r="K13" s="13">
        <f t="shared" si="4"/>
        <v>38278.230000000003</v>
      </c>
      <c r="L13" s="7">
        <f t="shared" si="5"/>
        <v>3.2092503591520938E-2</v>
      </c>
      <c r="M13" s="14" t="s">
        <v>82</v>
      </c>
    </row>
    <row r="14" spans="1:13" x14ac:dyDescent="0.3">
      <c r="A14" s="2" t="s">
        <v>105</v>
      </c>
      <c r="B14" s="2" t="s">
        <v>106</v>
      </c>
      <c r="C14" s="2" t="s">
        <v>85</v>
      </c>
      <c r="D14" s="6">
        <v>2562298</v>
      </c>
      <c r="E14" s="6">
        <v>1238614</v>
      </c>
      <c r="F14" s="6">
        <v>4005918</v>
      </c>
      <c r="G14" s="7">
        <f t="shared" si="0"/>
        <v>0.639628170122304</v>
      </c>
      <c r="H14" s="7">
        <f t="shared" si="1"/>
        <v>0.30919604445223292</v>
      </c>
      <c r="I14" s="13">
        <f t="shared" si="2"/>
        <v>1323684</v>
      </c>
      <c r="J14" s="2" t="str">
        <f t="shared" si="3"/>
        <v>Lula</v>
      </c>
      <c r="K14" s="13">
        <f t="shared" si="4"/>
        <v>40059.18</v>
      </c>
      <c r="L14" s="7">
        <f t="shared" si="5"/>
        <v>3.3585653725979069E-2</v>
      </c>
      <c r="M14" s="14" t="s">
        <v>107</v>
      </c>
    </row>
    <row r="15" spans="1:13" x14ac:dyDescent="0.3">
      <c r="A15" s="2" t="s">
        <v>108</v>
      </c>
      <c r="B15" s="2" t="s">
        <v>109</v>
      </c>
      <c r="C15" s="2" t="s">
        <v>102</v>
      </c>
      <c r="D15" s="6">
        <v>5188324</v>
      </c>
      <c r="E15" s="6">
        <v>5777330</v>
      </c>
      <c r="F15" s="6">
        <v>11975386</v>
      </c>
      <c r="G15" s="7">
        <f t="shared" si="0"/>
        <v>0.43324899923893895</v>
      </c>
      <c r="H15" s="7">
        <f t="shared" si="1"/>
        <v>0.48243371862919493</v>
      </c>
      <c r="I15" s="13">
        <f t="shared" si="2"/>
        <v>589006</v>
      </c>
      <c r="J15" s="2" t="str">
        <f t="shared" si="3"/>
        <v>Flávio Bolsonaro</v>
      </c>
      <c r="K15" s="13">
        <f t="shared" si="4"/>
        <v>119753.86</v>
      </c>
      <c r="L15" s="7">
        <f t="shared" si="5"/>
        <v>0.10040174747234906</v>
      </c>
      <c r="M15" s="14" t="s">
        <v>110</v>
      </c>
    </row>
    <row r="16" spans="1:13" x14ac:dyDescent="0.3">
      <c r="A16" s="2" t="s">
        <v>111</v>
      </c>
      <c r="B16" s="2" t="s">
        <v>112</v>
      </c>
      <c r="C16" s="2" t="s">
        <v>99</v>
      </c>
      <c r="D16" s="6">
        <v>516855</v>
      </c>
      <c r="E16" s="6">
        <v>873351</v>
      </c>
      <c r="F16" s="6">
        <v>1490278</v>
      </c>
      <c r="G16" s="7">
        <f t="shared" si="0"/>
        <v>0.34681784204020993</v>
      </c>
      <c r="H16" s="7">
        <f t="shared" si="1"/>
        <v>0.5860322704891302</v>
      </c>
      <c r="I16" s="13">
        <f t="shared" si="2"/>
        <v>356496</v>
      </c>
      <c r="J16" s="2" t="str">
        <f t="shared" si="3"/>
        <v>Flávio Bolsonaro</v>
      </c>
      <c r="K16" s="13">
        <f t="shared" si="4"/>
        <v>14902.78</v>
      </c>
      <c r="L16" s="7">
        <f t="shared" si="5"/>
        <v>1.2494504596310917E-2</v>
      </c>
      <c r="M16" s="14" t="s">
        <v>82</v>
      </c>
    </row>
    <row r="17" spans="1:13" x14ac:dyDescent="0.3">
      <c r="A17" s="2" t="s">
        <v>113</v>
      </c>
      <c r="B17" s="2" t="s">
        <v>114</v>
      </c>
      <c r="C17" s="2" t="s">
        <v>99</v>
      </c>
      <c r="D17" s="6">
        <v>581681</v>
      </c>
      <c r="E17" s="6">
        <v>1298581</v>
      </c>
      <c r="F17" s="6">
        <v>1993288</v>
      </c>
      <c r="G17" s="7">
        <f t="shared" si="0"/>
        <v>0.2918198474079009</v>
      </c>
      <c r="H17" s="7">
        <f t="shared" si="1"/>
        <v>0.65147685632984298</v>
      </c>
      <c r="I17" s="13">
        <f t="shared" si="2"/>
        <v>716900</v>
      </c>
      <c r="J17" s="2" t="str">
        <f t="shared" si="3"/>
        <v>Flávio Bolsonaro</v>
      </c>
      <c r="K17" s="13">
        <f t="shared" si="4"/>
        <v>19932.88</v>
      </c>
      <c r="L17" s="7">
        <f t="shared" si="5"/>
        <v>1.6711745109148357E-2</v>
      </c>
      <c r="M17" s="14" t="s">
        <v>82</v>
      </c>
    </row>
    <row r="18" spans="1:13" x14ac:dyDescent="0.3">
      <c r="A18" s="2" t="s">
        <v>115</v>
      </c>
      <c r="B18" s="2" t="s">
        <v>116</v>
      </c>
      <c r="C18" s="2" t="s">
        <v>81</v>
      </c>
      <c r="D18" s="6">
        <v>2426263</v>
      </c>
      <c r="E18" s="6">
        <v>2163705</v>
      </c>
      <c r="F18" s="6">
        <v>4861904</v>
      </c>
      <c r="G18" s="7">
        <f t="shared" si="0"/>
        <v>0.49903556302222341</v>
      </c>
      <c r="H18" s="7">
        <f t="shared" si="1"/>
        <v>0.44503243996590636</v>
      </c>
      <c r="I18" s="13">
        <f t="shared" si="2"/>
        <v>262558</v>
      </c>
      <c r="J18" s="2" t="str">
        <f t="shared" si="3"/>
        <v>Lula</v>
      </c>
      <c r="K18" s="13">
        <f t="shared" si="4"/>
        <v>48619.040000000001</v>
      </c>
      <c r="L18" s="7">
        <f t="shared" si="5"/>
        <v>4.0762248301875512E-2</v>
      </c>
      <c r="M18" s="14" t="s">
        <v>96</v>
      </c>
    </row>
    <row r="19" spans="1:13" x14ac:dyDescent="0.3">
      <c r="A19" s="2" t="s">
        <v>117</v>
      </c>
      <c r="B19" s="2" t="s">
        <v>118</v>
      </c>
      <c r="C19" s="2" t="s">
        <v>85</v>
      </c>
      <c r="D19" s="6">
        <v>1540937</v>
      </c>
      <c r="E19" s="6">
        <v>831205</v>
      </c>
      <c r="F19" s="6">
        <v>2513361</v>
      </c>
      <c r="G19" s="7">
        <f t="shared" si="0"/>
        <v>0.61309815820329827</v>
      </c>
      <c r="H19" s="7">
        <f t="shared" si="1"/>
        <v>0.33071452926977063</v>
      </c>
      <c r="I19" s="13">
        <f t="shared" si="2"/>
        <v>709732</v>
      </c>
      <c r="J19" s="2" t="str">
        <f t="shared" si="3"/>
        <v>Lula</v>
      </c>
      <c r="K19" s="13">
        <f t="shared" si="4"/>
        <v>25133.61</v>
      </c>
      <c r="L19" s="7">
        <f t="shared" si="5"/>
        <v>2.1072041972496812E-2</v>
      </c>
      <c r="M19" s="14" t="s">
        <v>119</v>
      </c>
    </row>
    <row r="20" spans="1:13" x14ac:dyDescent="0.3">
      <c r="A20" s="2" t="s">
        <v>120</v>
      </c>
      <c r="B20" s="2" t="s">
        <v>121</v>
      </c>
      <c r="C20" s="2" t="s">
        <v>85</v>
      </c>
      <c r="D20" s="6">
        <v>3553971</v>
      </c>
      <c r="E20" s="6">
        <v>1738043</v>
      </c>
      <c r="F20" s="6">
        <v>5601017</v>
      </c>
      <c r="G20" s="7">
        <f t="shared" si="0"/>
        <v>0.63452244476315645</v>
      </c>
      <c r="H20" s="7">
        <f t="shared" si="1"/>
        <v>0.31030846719443989</v>
      </c>
      <c r="I20" s="13">
        <f t="shared" si="2"/>
        <v>1815928</v>
      </c>
      <c r="J20" s="2" t="str">
        <f t="shared" si="3"/>
        <v>Lula</v>
      </c>
      <c r="K20" s="13">
        <f t="shared" si="4"/>
        <v>56010.17</v>
      </c>
      <c r="L20" s="7">
        <f t="shared" si="5"/>
        <v>4.6958978560050935E-2</v>
      </c>
      <c r="M20" s="14" t="s">
        <v>82</v>
      </c>
    </row>
    <row r="21" spans="1:13" x14ac:dyDescent="0.3">
      <c r="A21" s="2" t="s">
        <v>122</v>
      </c>
      <c r="B21" s="2" t="s">
        <v>123</v>
      </c>
      <c r="C21" s="2" t="s">
        <v>85</v>
      </c>
      <c r="D21" s="6">
        <v>1523464</v>
      </c>
      <c r="E21" s="6">
        <v>516991</v>
      </c>
      <c r="F21" s="6">
        <v>2146105</v>
      </c>
      <c r="G21" s="7">
        <f t="shared" si="0"/>
        <v>0.70987393440675084</v>
      </c>
      <c r="H21" s="7">
        <f t="shared" si="1"/>
        <v>0.24089734658835424</v>
      </c>
      <c r="I21" s="13">
        <f t="shared" si="2"/>
        <v>1006473</v>
      </c>
      <c r="J21" s="2" t="str">
        <f t="shared" si="3"/>
        <v>Lula</v>
      </c>
      <c r="K21" s="13">
        <f t="shared" si="4"/>
        <v>21461.05</v>
      </c>
      <c r="L21" s="7">
        <f t="shared" si="5"/>
        <v>1.799296425678017E-2</v>
      </c>
      <c r="M21" s="14" t="s">
        <v>119</v>
      </c>
    </row>
    <row r="22" spans="1:13" x14ac:dyDescent="0.3">
      <c r="A22" s="2" t="s">
        <v>124</v>
      </c>
      <c r="B22" s="2" t="s">
        <v>125</v>
      </c>
      <c r="C22" s="2" t="s">
        <v>126</v>
      </c>
      <c r="D22" s="6">
        <v>2054597</v>
      </c>
      <c r="E22" s="6">
        <v>3945345</v>
      </c>
      <c r="F22" s="6">
        <v>6585243</v>
      </c>
      <c r="G22" s="7">
        <f t="shared" si="0"/>
        <v>0.3120001797959468</v>
      </c>
      <c r="H22" s="7">
        <f t="shared" si="1"/>
        <v>0.59911912134449707</v>
      </c>
      <c r="I22" s="13">
        <f t="shared" si="2"/>
        <v>1890748</v>
      </c>
      <c r="J22" s="2" t="str">
        <f t="shared" si="3"/>
        <v>Flávio Bolsonaro</v>
      </c>
      <c r="K22" s="13">
        <f t="shared" si="4"/>
        <v>65852.429999999993</v>
      </c>
      <c r="L22" s="7">
        <f t="shared" si="5"/>
        <v>5.5210738487264988E-2</v>
      </c>
      <c r="M22" s="14" t="s">
        <v>82</v>
      </c>
    </row>
    <row r="23" spans="1:13" x14ac:dyDescent="0.3">
      <c r="A23" s="2" t="s">
        <v>127</v>
      </c>
      <c r="B23" s="2" t="s">
        <v>128</v>
      </c>
      <c r="C23" s="2" t="s">
        <v>102</v>
      </c>
      <c r="D23" s="6">
        <v>3693021</v>
      </c>
      <c r="E23" s="6">
        <v>4966844</v>
      </c>
      <c r="F23" s="6">
        <v>9369700</v>
      </c>
      <c r="G23" s="7">
        <f t="shared" si="0"/>
        <v>0.39414506334247629</v>
      </c>
      <c r="H23" s="7">
        <f t="shared" si="1"/>
        <v>0.53009637448370817</v>
      </c>
      <c r="I23" s="13">
        <f t="shared" si="2"/>
        <v>1273823</v>
      </c>
      <c r="J23" s="2" t="str">
        <f t="shared" si="3"/>
        <v>Flávio Bolsonaro</v>
      </c>
      <c r="K23" s="13">
        <f t="shared" si="4"/>
        <v>93697</v>
      </c>
      <c r="L23" s="7">
        <f t="shared" si="5"/>
        <v>7.8555651842176027E-2</v>
      </c>
      <c r="M23" s="14" t="s">
        <v>82</v>
      </c>
    </row>
    <row r="24" spans="1:13" x14ac:dyDescent="0.3">
      <c r="A24" s="2" t="s">
        <v>129</v>
      </c>
      <c r="B24" s="2" t="s">
        <v>130</v>
      </c>
      <c r="C24" s="2" t="s">
        <v>85</v>
      </c>
      <c r="D24" s="6">
        <v>1237963</v>
      </c>
      <c r="E24" s="6">
        <v>720493</v>
      </c>
      <c r="F24" s="6">
        <v>2071898</v>
      </c>
      <c r="G24" s="7">
        <f t="shared" si="0"/>
        <v>0.59750190405126125</v>
      </c>
      <c r="H24" s="7">
        <f t="shared" si="1"/>
        <v>0.34774540059404468</v>
      </c>
      <c r="I24" s="13">
        <f t="shared" si="2"/>
        <v>517470</v>
      </c>
      <c r="J24" s="2" t="str">
        <f t="shared" si="3"/>
        <v>Lula</v>
      </c>
      <c r="K24" s="13">
        <f t="shared" si="4"/>
        <v>20718.98</v>
      </c>
      <c r="L24" s="7">
        <f t="shared" si="5"/>
        <v>1.7370812079415651E-2</v>
      </c>
      <c r="M24" s="14" t="s">
        <v>82</v>
      </c>
    </row>
    <row r="25" spans="1:13" x14ac:dyDescent="0.3">
      <c r="A25" s="2" t="s">
        <v>131</v>
      </c>
      <c r="B25" s="2" t="s">
        <v>132</v>
      </c>
      <c r="C25" s="2" t="s">
        <v>81</v>
      </c>
      <c r="D25" s="6">
        <v>250667</v>
      </c>
      <c r="E25" s="6">
        <v>652988</v>
      </c>
      <c r="F25" s="6">
        <v>968059</v>
      </c>
      <c r="G25" s="7">
        <f t="shared" si="0"/>
        <v>0.2589377300350495</v>
      </c>
      <c r="H25" s="7">
        <f t="shared" si="1"/>
        <v>0.67453326708392769</v>
      </c>
      <c r="I25" s="13">
        <f t="shared" si="2"/>
        <v>402321</v>
      </c>
      <c r="J25" s="2" t="str">
        <f t="shared" si="3"/>
        <v>Flávio Bolsonaro</v>
      </c>
      <c r="K25" s="13">
        <f t="shared" si="4"/>
        <v>9680.59</v>
      </c>
      <c r="L25" s="7">
        <f t="shared" si="5"/>
        <v>8.1162156490266583E-3</v>
      </c>
      <c r="M25" s="14" t="s">
        <v>82</v>
      </c>
    </row>
    <row r="26" spans="1:13" x14ac:dyDescent="0.3">
      <c r="A26" s="2" t="s">
        <v>133</v>
      </c>
      <c r="B26" s="2" t="s">
        <v>134</v>
      </c>
      <c r="C26" s="2" t="s">
        <v>81</v>
      </c>
      <c r="D26" s="6">
        <v>74420</v>
      </c>
      <c r="E26" s="6">
        <v>231322</v>
      </c>
      <c r="F26" s="6">
        <v>325545</v>
      </c>
      <c r="G26" s="7">
        <f t="shared" si="0"/>
        <v>0.22860126864181604</v>
      </c>
      <c r="H26" s="7">
        <f t="shared" si="1"/>
        <v>0.71056843139965287</v>
      </c>
      <c r="I26" s="13">
        <f t="shared" si="2"/>
        <v>156902</v>
      </c>
      <c r="J26" s="2" t="str">
        <f t="shared" si="3"/>
        <v>Flávio Bolsonaro</v>
      </c>
      <c r="K26" s="13">
        <f t="shared" si="4"/>
        <v>3255.45</v>
      </c>
      <c r="L26" s="7">
        <f t="shared" si="5"/>
        <v>2.7293723042318531E-3</v>
      </c>
      <c r="M26" s="14" t="s">
        <v>82</v>
      </c>
    </row>
    <row r="27" spans="1:13" x14ac:dyDescent="0.3">
      <c r="A27" s="2" t="s">
        <v>135</v>
      </c>
      <c r="B27" s="2" t="s">
        <v>136</v>
      </c>
      <c r="C27" s="2" t="s">
        <v>126</v>
      </c>
      <c r="D27" s="6">
        <v>2294759</v>
      </c>
      <c r="E27" s="6">
        <v>3573783</v>
      </c>
      <c r="F27" s="6">
        <v>6423046</v>
      </c>
      <c r="G27" s="7">
        <f t="shared" si="0"/>
        <v>0.35726958829191008</v>
      </c>
      <c r="H27" s="7">
        <f t="shared" si="1"/>
        <v>0.55640003200973498</v>
      </c>
      <c r="I27" s="13">
        <f t="shared" si="2"/>
        <v>1279024</v>
      </c>
      <c r="J27" s="2" t="str">
        <f t="shared" si="3"/>
        <v>Flávio Bolsonaro</v>
      </c>
      <c r="K27" s="13">
        <f t="shared" si="4"/>
        <v>64230.46</v>
      </c>
      <c r="L27" s="7">
        <f t="shared" si="5"/>
        <v>5.3850877332495314E-2</v>
      </c>
      <c r="M27" s="14" t="s">
        <v>82</v>
      </c>
    </row>
    <row r="28" spans="1:13" x14ac:dyDescent="0.3">
      <c r="A28" s="2" t="s">
        <v>137</v>
      </c>
      <c r="B28" s="2" t="s">
        <v>138</v>
      </c>
      <c r="C28" s="2" t="s">
        <v>126</v>
      </c>
      <c r="D28" s="6">
        <v>1127168</v>
      </c>
      <c r="E28" s="6">
        <v>3000020</v>
      </c>
      <c r="F28" s="6">
        <v>4500897</v>
      </c>
      <c r="G28" s="7">
        <f t="shared" si="0"/>
        <v>0.25043185836067788</v>
      </c>
      <c r="H28" s="7">
        <f t="shared" si="1"/>
        <v>0.66653824782037896</v>
      </c>
      <c r="I28" s="13">
        <f t="shared" si="2"/>
        <v>1872852</v>
      </c>
      <c r="J28" s="2" t="str">
        <f t="shared" si="3"/>
        <v>Flávio Bolsonaro</v>
      </c>
      <c r="K28" s="13">
        <f t="shared" si="4"/>
        <v>45008.97</v>
      </c>
      <c r="L28" s="7">
        <f t="shared" si="5"/>
        <v>3.773556226021052E-2</v>
      </c>
      <c r="M28" s="14" t="s">
        <v>82</v>
      </c>
    </row>
    <row r="29" spans="1:13" x14ac:dyDescent="0.3">
      <c r="A29" s="2" t="s">
        <v>139</v>
      </c>
      <c r="B29" s="2" t="s">
        <v>140</v>
      </c>
      <c r="C29" s="2" t="s">
        <v>85</v>
      </c>
      <c r="D29" s="6">
        <v>856019</v>
      </c>
      <c r="E29" s="6">
        <v>417839</v>
      </c>
      <c r="F29" s="6">
        <v>1364196</v>
      </c>
      <c r="G29" s="7">
        <f t="shared" si="0"/>
        <v>0.62748974487536979</v>
      </c>
      <c r="H29" s="7">
        <f t="shared" si="1"/>
        <v>0.30628956542901459</v>
      </c>
      <c r="I29" s="13">
        <f t="shared" si="2"/>
        <v>438180</v>
      </c>
      <c r="J29" s="2" t="str">
        <f t="shared" si="3"/>
        <v>Lula</v>
      </c>
      <c r="K29" s="13">
        <f t="shared" si="4"/>
        <v>13641.96</v>
      </c>
      <c r="L29" s="7">
        <f t="shared" si="5"/>
        <v>1.1437431937040584E-2</v>
      </c>
      <c r="M29" s="14" t="s">
        <v>82</v>
      </c>
    </row>
    <row r="30" spans="1:13" x14ac:dyDescent="0.3">
      <c r="A30" s="2" t="s">
        <v>141</v>
      </c>
      <c r="B30" s="2" t="s">
        <v>142</v>
      </c>
      <c r="C30" s="2" t="s">
        <v>102</v>
      </c>
      <c r="D30" s="6">
        <v>9505413</v>
      </c>
      <c r="E30" s="6">
        <v>12922023</v>
      </c>
      <c r="F30" s="6">
        <v>24882948</v>
      </c>
      <c r="G30" s="7">
        <f t="shared" si="0"/>
        <v>0.38200509843126307</v>
      </c>
      <c r="H30" s="7">
        <f t="shared" si="1"/>
        <v>0.51931238211806741</v>
      </c>
      <c r="I30" s="13">
        <f t="shared" si="2"/>
        <v>3416610</v>
      </c>
      <c r="J30" s="2" t="str">
        <f t="shared" si="3"/>
        <v>Flávio Bolsonaro</v>
      </c>
      <c r="K30" s="13">
        <f t="shared" si="4"/>
        <v>248829.48</v>
      </c>
      <c r="L30" s="7">
        <f t="shared" si="5"/>
        <v>0.20861886718838066</v>
      </c>
      <c r="M30" s="14" t="s">
        <v>82</v>
      </c>
    </row>
    <row r="31" spans="1:13" x14ac:dyDescent="0.3">
      <c r="A31" s="2" t="s">
        <v>143</v>
      </c>
      <c r="B31" s="2" t="s">
        <v>144</v>
      </c>
      <c r="C31" s="2" t="s">
        <v>81</v>
      </c>
      <c r="D31" s="6">
        <v>404009</v>
      </c>
      <c r="E31" s="6">
        <v>469321</v>
      </c>
      <c r="F31" s="6">
        <v>930447</v>
      </c>
      <c r="G31" s="7">
        <f t="shared" si="0"/>
        <v>0.43420957883683864</v>
      </c>
      <c r="H31" s="7">
        <f t="shared" si="1"/>
        <v>0.50440379731462404</v>
      </c>
      <c r="I31" s="13">
        <f t="shared" si="2"/>
        <v>65312</v>
      </c>
      <c r="J31" s="2" t="str">
        <f t="shared" si="3"/>
        <v>Flávio Bolsonaro</v>
      </c>
      <c r="K31" s="13">
        <f t="shared" si="4"/>
        <v>9304.4699999999993</v>
      </c>
      <c r="L31" s="7">
        <f t="shared" si="5"/>
        <v>7.8008762916205593E-3</v>
      </c>
      <c r="M31" s="14" t="s">
        <v>82</v>
      </c>
    </row>
    <row r="32" spans="1:13" x14ac:dyDescent="0.3">
      <c r="A32" s="2" t="s">
        <v>145</v>
      </c>
      <c r="B32" s="2" t="s">
        <v>146</v>
      </c>
      <c r="C32" s="2" t="s">
        <v>146</v>
      </c>
      <c r="D32" s="6">
        <v>157387</v>
      </c>
      <c r="E32" s="6">
        <v>143900</v>
      </c>
      <c r="F32" s="6">
        <v>330882</v>
      </c>
      <c r="G32" s="7">
        <f t="shared" si="0"/>
        <v>0.4756589962584849</v>
      </c>
      <c r="H32" s="7">
        <f t="shared" si="1"/>
        <v>0.43489824166923557</v>
      </c>
      <c r="I32" s="13">
        <f t="shared" si="2"/>
        <v>13487</v>
      </c>
      <c r="J32" s="2" t="str">
        <f t="shared" si="3"/>
        <v>Lula</v>
      </c>
      <c r="K32" s="13">
        <f t="shared" si="4"/>
        <v>3308.82</v>
      </c>
      <c r="L32" s="7">
        <f t="shared" si="5"/>
        <v>2.7741177618112517E-3</v>
      </c>
      <c r="M32" s="14" t="s">
        <v>82</v>
      </c>
    </row>
    <row r="33" spans="1:13" x14ac:dyDescent="0.3">
      <c r="A33" s="15" t="s">
        <v>147</v>
      </c>
      <c r="B33" s="16"/>
      <c r="C33" s="16"/>
      <c r="D33" s="17">
        <f>SUM(D5:D32)</f>
        <v>53858095</v>
      </c>
      <c r="E33" s="17">
        <f>SUM(E5:E32)</f>
        <v>56100585</v>
      </c>
      <c r="F33" s="17">
        <f>SUM(F5:F32)</f>
        <v>119274677</v>
      </c>
      <c r="G33" s="18">
        <f t="shared" si="0"/>
        <v>0.45154676880826933</v>
      </c>
      <c r="H33" s="18">
        <f t="shared" si="1"/>
        <v>0.4703478258004421</v>
      </c>
      <c r="I33" s="19">
        <f t="shared" si="2"/>
        <v>2242490</v>
      </c>
      <c r="J33" s="16"/>
      <c r="K33" s="16"/>
      <c r="L33" s="16"/>
      <c r="M33" s="16"/>
    </row>
    <row r="34" spans="1: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8" t="s">
        <v>148</v>
      </c>
      <c r="B35" s="1"/>
      <c r="C35" s="1"/>
      <c r="D35" s="1"/>
      <c r="E35" s="1"/>
      <c r="F35" s="1"/>
      <c r="G35" s="1"/>
      <c r="H35" s="1"/>
      <c r="I35" s="1">
        <f>COUNTIFS(J5:J32,"Flávio Bolsonaro",A5:A32,"&lt;&gt;ZZ")</f>
        <v>15</v>
      </c>
      <c r="J35" s="1"/>
      <c r="K35" s="1"/>
      <c r="L35" s="1"/>
      <c r="M35" s="1"/>
    </row>
    <row r="36" spans="1:13" x14ac:dyDescent="0.3">
      <c r="A36" s="8" t="s">
        <v>149</v>
      </c>
      <c r="B36" s="1"/>
      <c r="C36" s="1"/>
      <c r="D36" s="1"/>
      <c r="E36" s="1"/>
      <c r="F36" s="1"/>
      <c r="G36" s="1"/>
      <c r="H36" s="1"/>
      <c r="I36" s="1">
        <f>COUNTIFS(J5:J32,"Lula",A5:A32,"&lt;&gt;ZZ")</f>
        <v>12</v>
      </c>
      <c r="J36" s="1"/>
      <c r="K36" s="1"/>
      <c r="L36" s="1"/>
      <c r="M36" s="1"/>
    </row>
    <row r="37" spans="1:13" x14ac:dyDescent="0.3">
      <c r="A37" s="8" t="s">
        <v>10</v>
      </c>
      <c r="B37" s="1"/>
      <c r="C37" s="1"/>
      <c r="D37" s="1"/>
      <c r="E37" s="1"/>
      <c r="F37" s="1"/>
      <c r="G37" s="1"/>
      <c r="H37" s="1"/>
      <c r="I37" s="9">
        <f>MAX(I5:I32)</f>
        <v>3416610</v>
      </c>
      <c r="J37" s="1"/>
      <c r="K37" s="1"/>
      <c r="L37" s="1"/>
      <c r="M37" s="1"/>
    </row>
    <row r="38" spans="1:13" x14ac:dyDescent="0.3">
      <c r="A38" s="8" t="s">
        <v>150</v>
      </c>
      <c r="B38" s="1"/>
      <c r="C38" s="1"/>
      <c r="D38" s="1"/>
      <c r="E38" s="1"/>
      <c r="F38" s="1"/>
      <c r="G38" s="1"/>
      <c r="H38" s="1"/>
      <c r="I38" s="1" t="str">
        <f>INDEX(A5:A32,MATCH(I37,I5:I32,0))</f>
        <v>SP</v>
      </c>
      <c r="J38" s="1"/>
      <c r="K38" s="1"/>
      <c r="L38" s="1"/>
      <c r="M38" s="1"/>
    </row>
    <row r="39" spans="1:13" x14ac:dyDescent="0.3">
      <c r="A39" s="8" t="s">
        <v>151</v>
      </c>
      <c r="B39" s="1"/>
      <c r="C39" s="1"/>
      <c r="D39" s="1"/>
      <c r="E39" s="1"/>
      <c r="F39" s="1"/>
      <c r="G39" s="1"/>
      <c r="H39" s="1"/>
      <c r="I39" s="20">
        <f>INDEX(K5:K32,MATCH("SP",A5:A32,0))/INDEX(K5:K32,MATCH("RR",A5:A32,0))</f>
        <v>76.434741740773177</v>
      </c>
      <c r="J39" s="1"/>
      <c r="K39" s="1"/>
      <c r="L39" s="1"/>
      <c r="M39" s="1"/>
    </row>
    <row r="40" spans="1:13" x14ac:dyDescent="0.3">
      <c r="A40" s="21" t="s">
        <v>152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2">
    <mergeCell ref="A2:M2"/>
    <mergeCell ref="A1:M1"/>
  </mergeCells>
  <conditionalFormatting sqref="J5:J32">
    <cfRule type="expression" dxfId="1" priority="1">
      <formula>$J5="Flávio Bolsonaro"</formula>
    </cfRule>
    <cfRule type="expression" dxfId="0" priority="2">
      <formula>$J5="Lula"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workbookViewId="0"/>
  </sheetViews>
  <sheetFormatPr defaultRowHeight="14.4" x14ac:dyDescent="0.3"/>
  <cols>
    <col min="1" max="4" width="16" customWidth="1"/>
    <col min="5" max="6" width="10" customWidth="1"/>
    <col min="7" max="7" width="20" customWidth="1"/>
    <col min="8" max="8" width="18" customWidth="1"/>
    <col min="9" max="9" width="14" customWidth="1"/>
  </cols>
  <sheetData>
    <row r="1" spans="1:9" ht="30" customHeight="1" x14ac:dyDescent="0.3">
      <c r="A1" s="44" t="s">
        <v>153</v>
      </c>
      <c r="B1" s="40"/>
      <c r="C1" s="40"/>
      <c r="D1" s="40"/>
      <c r="E1" s="40"/>
      <c r="F1" s="40"/>
      <c r="G1" s="40"/>
      <c r="H1" s="40"/>
      <c r="I1" s="40"/>
    </row>
    <row r="2" spans="1:9" ht="30" customHeight="1" x14ac:dyDescent="0.3">
      <c r="A2" s="50" t="s">
        <v>154</v>
      </c>
      <c r="B2" s="40"/>
      <c r="C2" s="40"/>
      <c r="D2" s="40"/>
      <c r="E2" s="40"/>
      <c r="F2" s="40"/>
      <c r="G2" s="40"/>
      <c r="H2" s="40"/>
      <c r="I2" s="40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31.95" customHeight="1" x14ac:dyDescent="0.3">
      <c r="A4" s="5" t="s">
        <v>68</v>
      </c>
      <c r="B4" s="5" t="s">
        <v>69</v>
      </c>
      <c r="C4" s="5" t="s">
        <v>70</v>
      </c>
      <c r="D4" s="5" t="s">
        <v>155</v>
      </c>
      <c r="E4" s="5" t="s">
        <v>72</v>
      </c>
      <c r="F4" s="5" t="s">
        <v>73</v>
      </c>
      <c r="G4" s="5" t="s">
        <v>156</v>
      </c>
      <c r="H4" s="5" t="s">
        <v>157</v>
      </c>
      <c r="I4" s="5" t="s">
        <v>77</v>
      </c>
    </row>
    <row r="5" spans="1:9" x14ac:dyDescent="0.3">
      <c r="A5" s="22" t="s">
        <v>81</v>
      </c>
      <c r="B5" s="23">
        <f>SUMIFS(ESTADOS!$D$5:$D$32,ESTADOS!$C$5:$C$32,$A5)</f>
        <v>4546194</v>
      </c>
      <c r="C5" s="23">
        <f>SUMIFS(ESTADOS!$E$5:$E$32,ESTADOS!$C$5:$C$32,$A5)</f>
        <v>5008927</v>
      </c>
      <c r="D5" s="23">
        <f>SUMIFS(ESTADOS!$F$5:$F$32,ESTADOS!$C$5:$C$32,$A5)</f>
        <v>10186889</v>
      </c>
      <c r="E5" s="7">
        <f t="shared" ref="E5:E10" si="0">B5/D5</f>
        <v>0.44627893756376458</v>
      </c>
      <c r="F5" s="7">
        <f t="shared" ref="F5:F10" si="1">C5/D5</f>
        <v>0.49170330608294643</v>
      </c>
      <c r="G5" s="13">
        <f t="shared" ref="G5:G11" si="2">ABS(C5-B5)</f>
        <v>462733</v>
      </c>
      <c r="H5" s="2" t="str">
        <f t="shared" ref="H5:H10" si="3">IF(C5&gt;B5,"Flávio Bolsonaro",IF(B5&gt;C5,"Lula","Empate"))</f>
        <v>Flávio Bolsonaro</v>
      </c>
      <c r="I5" s="7">
        <f t="shared" ref="I5:I10" si="4">D5/$D$11</f>
        <v>8.5406972009658008E-2</v>
      </c>
    </row>
    <row r="6" spans="1:9" x14ac:dyDescent="0.3">
      <c r="A6" s="22" t="s">
        <v>85</v>
      </c>
      <c r="B6" s="23">
        <f>SUMIFS(ESTADOS!$D$5:$D$32,ESTADOS!$C$5:$C$32,$A6)</f>
        <v>21478161</v>
      </c>
      <c r="C6" s="23">
        <f>SUMIFS(ESTADOS!$E$5:$E$32,ESTADOS!$C$5:$C$32,$A6)</f>
        <v>10395783</v>
      </c>
      <c r="D6" s="23">
        <f>SUMIFS(ESTADOS!$F$5:$F$32,ESTADOS!$C$5:$C$32,$A6)</f>
        <v>33684411</v>
      </c>
      <c r="E6" s="7">
        <f t="shared" si="0"/>
        <v>0.63762910979800125</v>
      </c>
      <c r="F6" s="7">
        <f t="shared" si="1"/>
        <v>0.30862297102359904</v>
      </c>
      <c r="G6" s="13">
        <f t="shared" si="2"/>
        <v>11082378</v>
      </c>
      <c r="H6" s="2" t="str">
        <f t="shared" si="3"/>
        <v>Lula</v>
      </c>
      <c r="I6" s="7">
        <f t="shared" si="4"/>
        <v>0.28241041474377665</v>
      </c>
    </row>
    <row r="7" spans="1:9" x14ac:dyDescent="0.3">
      <c r="A7" s="22" t="s">
        <v>99</v>
      </c>
      <c r="B7" s="23">
        <f>SUMIFS(ESTADOS!$D$5:$D$32,ESTADOS!$C$5:$C$32,$A7)</f>
        <v>2963043</v>
      </c>
      <c r="C7" s="23">
        <f>SUMIFS(ESTADOS!$E$5:$E$32,ESTADOS!$C$5:$C$32,$A7)</f>
        <v>5133436</v>
      </c>
      <c r="D7" s="23">
        <f>SUMIFS(ESTADOS!$F$5:$F$32,ESTADOS!$C$5:$C$32,$A7)</f>
        <v>9084197</v>
      </c>
      <c r="E7" s="7">
        <f t="shared" si="0"/>
        <v>0.32617555519766911</v>
      </c>
      <c r="F7" s="7">
        <f t="shared" si="1"/>
        <v>0.56509518672921777</v>
      </c>
      <c r="G7" s="13">
        <f t="shared" si="2"/>
        <v>2170393</v>
      </c>
      <c r="H7" s="2" t="str">
        <f t="shared" si="3"/>
        <v>Flávio Bolsonaro</v>
      </c>
      <c r="I7" s="7">
        <f t="shared" si="4"/>
        <v>7.6161992037924356E-2</v>
      </c>
    </row>
    <row r="8" spans="1:9" x14ac:dyDescent="0.3">
      <c r="A8" s="22" t="s">
        <v>102</v>
      </c>
      <c r="B8" s="23">
        <f>SUMIFS(ESTADOS!$D$5:$D$32,ESTADOS!$C$5:$C$32,$A8)</f>
        <v>19236786</v>
      </c>
      <c r="C8" s="23">
        <f>SUMIFS(ESTADOS!$E$5:$E$32,ESTADOS!$C$5:$C$32,$A8)</f>
        <v>24899391</v>
      </c>
      <c r="D8" s="23">
        <f>SUMIFS(ESTADOS!$F$5:$F$32,ESTADOS!$C$5:$C$32,$A8)</f>
        <v>48479112</v>
      </c>
      <c r="E8" s="7">
        <f t="shared" si="0"/>
        <v>0.39680565931158146</v>
      </c>
      <c r="F8" s="7">
        <f t="shared" si="1"/>
        <v>0.51361070722582547</v>
      </c>
      <c r="G8" s="13">
        <f t="shared" si="2"/>
        <v>5662605</v>
      </c>
      <c r="H8" s="2" t="str">
        <f t="shared" si="3"/>
        <v>Flávio Bolsonaro</v>
      </c>
      <c r="I8" s="7">
        <f t="shared" si="4"/>
        <v>0.4064493253668589</v>
      </c>
    </row>
    <row r="9" spans="1:9" x14ac:dyDescent="0.3">
      <c r="A9" s="22" t="s">
        <v>126</v>
      </c>
      <c r="B9" s="23">
        <f>SUMIFS(ESTADOS!$D$5:$D$32,ESTADOS!$C$5:$C$32,$A9)</f>
        <v>5476524</v>
      </c>
      <c r="C9" s="23">
        <f>SUMIFS(ESTADOS!$E$5:$E$32,ESTADOS!$C$5:$C$32,$A9)</f>
        <v>10519148</v>
      </c>
      <c r="D9" s="23">
        <f>SUMIFS(ESTADOS!$F$5:$F$32,ESTADOS!$C$5:$C$32,$A9)</f>
        <v>17509186</v>
      </c>
      <c r="E9" s="7">
        <f t="shared" si="0"/>
        <v>0.31278004585707181</v>
      </c>
      <c r="F9" s="7">
        <f t="shared" si="1"/>
        <v>0.60077881404652389</v>
      </c>
      <c r="G9" s="13">
        <f t="shared" si="2"/>
        <v>5042624</v>
      </c>
      <c r="H9" s="2" t="str">
        <f t="shared" si="3"/>
        <v>Flávio Bolsonaro</v>
      </c>
      <c r="I9" s="7">
        <f t="shared" si="4"/>
        <v>0.14679717807997084</v>
      </c>
    </row>
    <row r="10" spans="1:9" x14ac:dyDescent="0.3">
      <c r="A10" s="22" t="s">
        <v>146</v>
      </c>
      <c r="B10" s="23">
        <f>SUMIFS(ESTADOS!$D$5:$D$32,ESTADOS!$C$5:$C$32,$A10)</f>
        <v>157387</v>
      </c>
      <c r="C10" s="23">
        <f>SUMIFS(ESTADOS!$E$5:$E$32,ESTADOS!$C$5:$C$32,$A10)</f>
        <v>143900</v>
      </c>
      <c r="D10" s="23">
        <f>SUMIFS(ESTADOS!$F$5:$F$32,ESTADOS!$C$5:$C$32,$A10)</f>
        <v>330882</v>
      </c>
      <c r="E10" s="7">
        <f t="shared" si="0"/>
        <v>0.4756589962584849</v>
      </c>
      <c r="F10" s="7">
        <f t="shared" si="1"/>
        <v>0.43489824166923557</v>
      </c>
      <c r="G10" s="13">
        <f t="shared" si="2"/>
        <v>13487</v>
      </c>
      <c r="H10" s="2" t="str">
        <f t="shared" si="3"/>
        <v>Lula</v>
      </c>
      <c r="I10" s="7">
        <f t="shared" si="4"/>
        <v>2.7741177618112517E-3</v>
      </c>
    </row>
    <row r="11" spans="1:9" x14ac:dyDescent="0.3">
      <c r="A11" s="15" t="s">
        <v>147</v>
      </c>
      <c r="B11" s="17">
        <f>SUM(B5:B10)</f>
        <v>53858095</v>
      </c>
      <c r="C11" s="17">
        <f>SUM(C5:C10)</f>
        <v>56100585</v>
      </c>
      <c r="D11" s="17">
        <f>SUM(D5:D10)</f>
        <v>119274677</v>
      </c>
      <c r="E11" s="16"/>
      <c r="F11" s="16"/>
      <c r="G11" s="19">
        <f t="shared" si="2"/>
        <v>2242490</v>
      </c>
      <c r="H11" s="16"/>
      <c r="I11" s="16"/>
    </row>
  </sheetData>
  <mergeCells count="2">
    <mergeCell ref="A1:I1"/>
    <mergeCell ref="A2:I2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workbookViewId="0"/>
  </sheetViews>
  <sheetFormatPr defaultRowHeight="14.4" x14ac:dyDescent="0.3"/>
  <cols>
    <col min="1" max="1" width="62" customWidth="1"/>
    <col min="2" max="2" width="18" customWidth="1"/>
    <col min="3" max="3" width="30" customWidth="1"/>
  </cols>
  <sheetData>
    <row r="1" spans="1:6" ht="30" customHeight="1" x14ac:dyDescent="0.3">
      <c r="A1" s="44" t="s">
        <v>158</v>
      </c>
      <c r="B1" s="40"/>
      <c r="C1" s="40"/>
      <c r="D1" s="40"/>
      <c r="E1" s="40"/>
      <c r="F1" s="40"/>
    </row>
    <row r="2" spans="1:6" ht="30" customHeight="1" x14ac:dyDescent="0.3">
      <c r="A2" s="50" t="s">
        <v>159</v>
      </c>
      <c r="B2" s="40"/>
      <c r="C2" s="40"/>
      <c r="D2" s="40"/>
      <c r="E2" s="40"/>
      <c r="F2" s="40"/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24" t="s">
        <v>160</v>
      </c>
      <c r="B4" s="1"/>
      <c r="C4" s="1"/>
      <c r="D4" s="1"/>
      <c r="E4" s="1"/>
      <c r="F4" s="1"/>
    </row>
    <row r="5" spans="1:6" x14ac:dyDescent="0.3">
      <c r="A5" s="4" t="s">
        <v>161</v>
      </c>
      <c r="B5" s="25">
        <f>NACIONAL!D6</f>
        <v>53857857</v>
      </c>
      <c r="C5" s="1"/>
      <c r="D5" s="1"/>
      <c r="E5" s="1"/>
      <c r="F5" s="1"/>
    </row>
    <row r="6" spans="1:6" x14ac:dyDescent="0.3">
      <c r="A6" s="4" t="s">
        <v>162</v>
      </c>
      <c r="B6" s="25">
        <f>NACIONAL!D5</f>
        <v>56100550</v>
      </c>
      <c r="C6" s="1"/>
      <c r="D6" s="1"/>
      <c r="E6" s="1"/>
      <c r="F6" s="1"/>
    </row>
    <row r="7" spans="1:6" x14ac:dyDescent="0.3">
      <c r="A7" s="4" t="s">
        <v>163</v>
      </c>
      <c r="B7" s="25">
        <f>NACIONAL!D18</f>
        <v>9315992</v>
      </c>
      <c r="C7" s="1"/>
      <c r="D7" s="1"/>
      <c r="E7" s="1"/>
      <c r="F7" s="1"/>
    </row>
    <row r="8" spans="1:6" x14ac:dyDescent="0.3">
      <c r="A8" s="4"/>
      <c r="B8" s="1"/>
      <c r="C8" s="1"/>
      <c r="D8" s="1"/>
      <c r="E8" s="1"/>
      <c r="F8" s="1"/>
    </row>
    <row r="9" spans="1:6" x14ac:dyDescent="0.3">
      <c r="A9" s="26" t="s">
        <v>164</v>
      </c>
      <c r="B9" s="1"/>
      <c r="C9" s="1"/>
      <c r="D9" s="1"/>
      <c r="E9" s="1"/>
      <c r="F9" s="1"/>
    </row>
    <row r="10" spans="1:6" x14ac:dyDescent="0.3">
      <c r="A10" s="4" t="s">
        <v>165</v>
      </c>
      <c r="B10" s="27">
        <v>0.5</v>
      </c>
      <c r="C10" s="1"/>
      <c r="D10" s="1"/>
      <c r="E10" s="1"/>
      <c r="F10" s="1"/>
    </row>
    <row r="11" spans="1:6" x14ac:dyDescent="0.3">
      <c r="A11" s="4" t="s">
        <v>166</v>
      </c>
      <c r="B11" s="27">
        <v>0.5</v>
      </c>
      <c r="C11" s="1"/>
      <c r="D11" s="1"/>
      <c r="E11" s="1"/>
      <c r="F11" s="1"/>
    </row>
    <row r="12" spans="1:6" x14ac:dyDescent="0.3">
      <c r="A12" s="4" t="s">
        <v>167</v>
      </c>
      <c r="B12" s="27">
        <v>0</v>
      </c>
      <c r="C12" s="1"/>
      <c r="D12" s="1"/>
      <c r="E12" s="1"/>
      <c r="F12" s="1"/>
    </row>
    <row r="13" spans="1:6" x14ac:dyDescent="0.3">
      <c r="A13" s="4" t="s">
        <v>168</v>
      </c>
      <c r="B13" s="28">
        <f>B10+B11+B12</f>
        <v>1</v>
      </c>
      <c r="C13" s="1" t="str">
        <f>IF(ROUND(B13,4)=1,"OK","AJUSTE: a soma deve ser 100%")</f>
        <v>OK</v>
      </c>
      <c r="D13" s="1"/>
      <c r="E13" s="1"/>
      <c r="F13" s="1"/>
    </row>
    <row r="14" spans="1:6" x14ac:dyDescent="0.3">
      <c r="A14" s="4"/>
      <c r="B14" s="1"/>
      <c r="C14" s="1"/>
      <c r="D14" s="1"/>
      <c r="E14" s="1"/>
      <c r="F14" s="1"/>
    </row>
    <row r="15" spans="1:6" x14ac:dyDescent="0.3">
      <c r="A15" s="4" t="s">
        <v>169</v>
      </c>
      <c r="B15" s="29" t="s">
        <v>85</v>
      </c>
      <c r="C15" s="1"/>
      <c r="D15" s="1"/>
      <c r="E15" s="1"/>
      <c r="F15" s="1"/>
    </row>
    <row r="16" spans="1:6" x14ac:dyDescent="0.3">
      <c r="A16" s="4" t="s">
        <v>170</v>
      </c>
      <c r="B16" s="30">
        <v>0</v>
      </c>
      <c r="C16" s="1"/>
      <c r="D16" s="1"/>
      <c r="E16" s="1"/>
      <c r="F16" s="1"/>
    </row>
    <row r="17" spans="1:6" x14ac:dyDescent="0.3">
      <c r="A17" s="4" t="s">
        <v>171</v>
      </c>
      <c r="B17" s="9">
        <f>IF(B15="Nenhuma",0,INDEX(REGIOES!D5:D10,MATCH(B15,REGIOES!A5:A10,0))*B16)</f>
        <v>0</v>
      </c>
      <c r="C17" s="1"/>
      <c r="D17" s="1"/>
      <c r="E17" s="1"/>
      <c r="F17" s="1"/>
    </row>
    <row r="18" spans="1:6" x14ac:dyDescent="0.3">
      <c r="A18" s="4" t="s">
        <v>172</v>
      </c>
      <c r="B18" s="9">
        <f>IF(B17=0,0,B17*INDEX(REGIOES!B5:B10,MATCH(B15,REGIOES!A5:A10,0))/(INDEX(REGIOES!B5:B10,MATCH(B15,REGIOES!A5:A10,0))+INDEX(REGIOES!C5:C10,MATCH(B15,REGIOES!A5:A10,0))))</f>
        <v>0</v>
      </c>
      <c r="C18" s="1"/>
      <c r="D18" s="1"/>
      <c r="E18" s="1"/>
      <c r="F18" s="1"/>
    </row>
    <row r="19" spans="1:6" x14ac:dyDescent="0.3">
      <c r="A19" s="4" t="s">
        <v>173</v>
      </c>
      <c r="B19" s="9">
        <f>B17-B18</f>
        <v>0</v>
      </c>
      <c r="C19" s="1"/>
      <c r="D19" s="1"/>
      <c r="E19" s="1"/>
      <c r="F19" s="1"/>
    </row>
    <row r="20" spans="1:6" x14ac:dyDescent="0.3">
      <c r="A20" s="4"/>
      <c r="B20" s="1"/>
      <c r="C20" s="1"/>
      <c r="D20" s="1"/>
      <c r="E20" s="1"/>
      <c r="F20" s="1"/>
    </row>
    <row r="21" spans="1:6" x14ac:dyDescent="0.3">
      <c r="A21" s="31" t="s">
        <v>174</v>
      </c>
      <c r="B21" s="3" t="s">
        <v>24</v>
      </c>
      <c r="C21" s="3" t="s">
        <v>25</v>
      </c>
      <c r="D21" s="1"/>
      <c r="E21" s="1"/>
      <c r="F21" s="1"/>
    </row>
    <row r="22" spans="1:6" x14ac:dyDescent="0.3">
      <c r="A22" s="4" t="s">
        <v>30</v>
      </c>
      <c r="B22" s="32">
        <f>B5+B7*B10+B18</f>
        <v>58515853</v>
      </c>
      <c r="C22" s="33">
        <f>IF($B$24=0,0,B22/$B$24)</f>
        <v>0.49059859861461136</v>
      </c>
      <c r="D22" s="1"/>
      <c r="E22" s="1"/>
      <c r="F22" s="1"/>
    </row>
    <row r="23" spans="1:6" x14ac:dyDescent="0.3">
      <c r="A23" s="4" t="s">
        <v>175</v>
      </c>
      <c r="B23" s="32">
        <f>B6+B7*B11+B19</f>
        <v>60758546</v>
      </c>
      <c r="C23" s="33">
        <f>IF($B$24=0,0,B23/$B$24)</f>
        <v>0.5094014013853887</v>
      </c>
      <c r="D23" s="1"/>
      <c r="E23" s="1"/>
      <c r="F23" s="1"/>
    </row>
    <row r="24" spans="1:6" x14ac:dyDescent="0.3">
      <c r="A24" s="4" t="s">
        <v>176</v>
      </c>
      <c r="B24" s="32">
        <f>B22+B23</f>
        <v>119274399</v>
      </c>
      <c r="C24" s="1"/>
      <c r="D24" s="1"/>
      <c r="E24" s="1"/>
      <c r="F24" s="1"/>
    </row>
    <row r="25" spans="1:6" x14ac:dyDescent="0.3">
      <c r="A25" s="4" t="s">
        <v>177</v>
      </c>
      <c r="B25" s="32">
        <f>ABS(B22-B23)</f>
        <v>2242693</v>
      </c>
      <c r="C25" s="1"/>
      <c r="D25" s="1"/>
      <c r="E25" s="1"/>
      <c r="F25" s="1"/>
    </row>
    <row r="26" spans="1:6" x14ac:dyDescent="0.3">
      <c r="A26" s="4"/>
      <c r="B26" s="1"/>
      <c r="C26" s="1"/>
      <c r="D26" s="1"/>
      <c r="E26" s="1"/>
      <c r="F26" s="1"/>
    </row>
    <row r="27" spans="1:6" ht="27.6" x14ac:dyDescent="0.3">
      <c r="A27" s="4" t="s">
        <v>178</v>
      </c>
      <c r="B27" s="34">
        <f>IF(B7=0,0,(B6-B5+B7)/(2*B7))</f>
        <v>0.62036791143659209</v>
      </c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52" t="s">
        <v>179</v>
      </c>
      <c r="B29" s="40"/>
      <c r="C29" s="40"/>
      <c r="D29" s="40"/>
      <c r="E29" s="40"/>
      <c r="F29" s="40"/>
    </row>
    <row r="30" spans="1:6" x14ac:dyDescent="0.3">
      <c r="A30" s="40"/>
      <c r="B30" s="40"/>
      <c r="C30" s="40"/>
      <c r="D30" s="40"/>
      <c r="E30" s="40"/>
      <c r="F30" s="40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51" t="s">
        <v>180</v>
      </c>
      <c r="B32" s="40"/>
      <c r="C32" s="40"/>
      <c r="D32" s="40"/>
      <c r="E32" s="40"/>
      <c r="F32" s="40"/>
    </row>
    <row r="33" spans="1:6" x14ac:dyDescent="0.3">
      <c r="A33" s="40"/>
      <c r="B33" s="40"/>
      <c r="C33" s="40"/>
      <c r="D33" s="40"/>
      <c r="E33" s="40"/>
      <c r="F33" s="40"/>
    </row>
  </sheetData>
  <mergeCells count="4">
    <mergeCell ref="A2:F2"/>
    <mergeCell ref="A32:F33"/>
    <mergeCell ref="A1:F1"/>
    <mergeCell ref="A29:F30"/>
  </mergeCells>
  <dataValidations count="1">
    <dataValidation type="list" sqref="B15" xr:uid="{00000000-0002-0000-0400-000000000000}">
      <formula1>"Nenhuma,Norte,Nordeste,Centro-Oeste,Sudeste,Sul"</formula1>
    </dataValidation>
  </dataValidations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"/>
  <sheetViews>
    <sheetView workbookViewId="0"/>
  </sheetViews>
  <sheetFormatPr defaultRowHeight="14.4" x14ac:dyDescent="0.3"/>
  <cols>
    <col min="1" max="1" width="44" customWidth="1"/>
    <col min="2" max="2" width="42" customWidth="1"/>
    <col min="3" max="3" width="30" customWidth="1"/>
    <col min="4" max="4" width="70" customWidth="1"/>
  </cols>
  <sheetData>
    <row r="1" spans="1:4" ht="30" customHeight="1" x14ac:dyDescent="0.3">
      <c r="A1" s="44" t="s">
        <v>181</v>
      </c>
      <c r="B1" s="40"/>
      <c r="C1" s="40"/>
      <c r="D1" s="40"/>
    </row>
    <row r="2" spans="1:4" x14ac:dyDescent="0.3">
      <c r="A2" s="1"/>
      <c r="B2" s="1"/>
      <c r="C2" s="1"/>
      <c r="D2" s="1"/>
    </row>
    <row r="3" spans="1:4" ht="31.95" customHeight="1" x14ac:dyDescent="0.3">
      <c r="A3" s="5" t="s">
        <v>182</v>
      </c>
      <c r="B3" s="5" t="s">
        <v>183</v>
      </c>
      <c r="C3" s="5" t="s">
        <v>184</v>
      </c>
      <c r="D3" s="5" t="s">
        <v>185</v>
      </c>
    </row>
    <row r="4" spans="1:4" ht="34.049999999999997" customHeight="1" x14ac:dyDescent="0.3">
      <c r="A4" s="35" t="s">
        <v>186</v>
      </c>
      <c r="B4" s="35" t="s">
        <v>187</v>
      </c>
      <c r="C4" s="35" t="s">
        <v>188</v>
      </c>
      <c r="D4" s="36" t="s">
        <v>189</v>
      </c>
    </row>
    <row r="5" spans="1:4" ht="34.049999999999997" customHeight="1" x14ac:dyDescent="0.3">
      <c r="A5" s="35" t="s">
        <v>190</v>
      </c>
      <c r="B5" s="35" t="s">
        <v>191</v>
      </c>
      <c r="C5" s="35" t="s">
        <v>192</v>
      </c>
      <c r="D5" s="36" t="s">
        <v>189</v>
      </c>
    </row>
    <row r="6" spans="1:4" ht="34.049999999999997" customHeight="1" x14ac:dyDescent="0.3">
      <c r="A6" s="35" t="s">
        <v>193</v>
      </c>
      <c r="B6" s="35" t="s">
        <v>194</v>
      </c>
      <c r="C6" s="35" t="s">
        <v>195</v>
      </c>
      <c r="D6" s="36" t="s">
        <v>196</v>
      </c>
    </row>
    <row r="7" spans="1:4" ht="34.049999999999997" customHeight="1" x14ac:dyDescent="0.3">
      <c r="A7" s="35" t="s">
        <v>197</v>
      </c>
      <c r="B7" s="35" t="s">
        <v>198</v>
      </c>
      <c r="C7" s="35" t="s">
        <v>199</v>
      </c>
      <c r="D7" s="36" t="s">
        <v>200</v>
      </c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ht="30" customHeight="1" x14ac:dyDescent="0.3">
      <c r="A10" s="53" t="s">
        <v>201</v>
      </c>
      <c r="B10" s="40"/>
      <c r="C10" s="40"/>
      <c r="D10" s="40"/>
    </row>
    <row r="11" spans="1:4" ht="30" customHeight="1" x14ac:dyDescent="0.3">
      <c r="A11" s="53" t="s">
        <v>202</v>
      </c>
      <c r="B11" s="40"/>
      <c r="C11" s="40"/>
      <c r="D11" s="40"/>
    </row>
    <row r="12" spans="1:4" ht="30" customHeight="1" x14ac:dyDescent="0.3">
      <c r="A12" s="53" t="s">
        <v>203</v>
      </c>
      <c r="B12" s="40"/>
      <c r="C12" s="40"/>
      <c r="D12" s="40"/>
    </row>
    <row r="13" spans="1:4" ht="30" customHeight="1" x14ac:dyDescent="0.3">
      <c r="A13" s="53" t="s">
        <v>204</v>
      </c>
      <c r="B13" s="40"/>
      <c r="C13" s="40"/>
      <c r="D13" s="40"/>
    </row>
  </sheetData>
  <mergeCells count="5">
    <mergeCell ref="A1:D1"/>
    <mergeCell ref="A12:D12"/>
    <mergeCell ref="A11:D11"/>
    <mergeCell ref="A10:D10"/>
    <mergeCell ref="A13:D13"/>
  </mergeCells>
  <hyperlinks>
    <hyperlink ref="D4" r:id="rId1" xr:uid="{00000000-0004-0000-0500-000000000000}"/>
    <hyperlink ref="D5" r:id="rId2" xr:uid="{00000000-0004-0000-0500-000001000000}"/>
    <hyperlink ref="D6" r:id="rId3" xr:uid="{00000000-0004-0000-0500-000002000000}"/>
    <hyperlink ref="D7" r:id="rId4" xr:uid="{00000000-0004-0000-0500-000003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PAINEL</vt:lpstr>
      <vt:lpstr>NACIONAL</vt:lpstr>
      <vt:lpstr>ESTADOS</vt:lpstr>
      <vt:lpstr>REGIOES</vt:lpstr>
      <vt:lpstr>SIMULADOR</vt:lpstr>
      <vt:lpstr>FONTES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Ananias Pereira da Silva Junior</cp:lastModifiedBy>
  <dcterms:created xsi:type="dcterms:W3CDTF">2026-10-06T15:34:17Z</dcterms:created>
  <dcterms:modified xsi:type="dcterms:W3CDTF">2026-10-06T15:34:50Z</dcterms:modified>
</cp:coreProperties>
</file>